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threadedComments/threadedComment2.xml" ContentType="application/vnd.ms-excel.threadedcomments+xml"/>
  <Override PartName="/xl/comments31.xml" ContentType="application/vnd.openxmlformats-officedocument.spreadsheetml.comments+xml"/>
  <Override PartName="/xl/drawings/drawing1.xml" ContentType="application/vnd.openxmlformats-officedocument.drawing+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threadedComments/threadedComment3.xml" ContentType="application/vnd.ms-excel.threaded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autoCompressPictures="0"/>
  <mc:AlternateContent xmlns:mc="http://schemas.openxmlformats.org/markup-compatibility/2006">
    <mc:Choice Requires="x15">
      <x15ac:absPath xmlns:x15ac="http://schemas.microsoft.com/office/spreadsheetml/2010/11/ac" url="C:\Users\sstoll\Downloads\"/>
    </mc:Choice>
  </mc:AlternateContent>
  <xr:revisionPtr revIDLastSave="0" documentId="13_ncr:1_{39A0C6C7-A227-4CFD-84A0-11E3644FA006}" xr6:coauthVersionLast="47" xr6:coauthVersionMax="47" xr10:uidLastSave="{00000000-0000-0000-0000-000000000000}"/>
  <workbookProtection workbookAlgorithmName="SHA-512" workbookHashValue="aLoynctZSVpyKO2E47sop/XTZejEDg9DI8B2OPJE1B2/BfTfAkHX8pYetD0GOTF/4Ryk3m0ILJyc+dZu6cK9jA==" workbookSaltValue="eWve6pwudgvFBqgSD36KlA==" workbookSpinCount="100000" lockStructure="1"/>
  <bookViews>
    <workbookView xWindow="-120" yWindow="-120" windowWidth="29040" windowHeight="15840" tabRatio="917" xr2:uid="{00000000-000D-0000-FFFF-FFFF00000000}"/>
  </bookViews>
  <sheets>
    <sheet name="Enrolled&amp;Grads" sheetId="68" r:id="rId1"/>
    <sheet name="Alabama" sheetId="2" r:id="rId2"/>
    <sheet name="Albany" sheetId="4" r:id="rId3"/>
    <sheet name="Alberta" sheetId="58" r:id="rId4"/>
    <sheet name="Arizona" sheetId="5" r:id="rId5"/>
    <sheet name="British Columbia" sheetId="6" r:id="rId6"/>
    <sheet name="Buffalo" sheetId="7" r:id="rId7"/>
    <sheet name="California Los Angeles" sheetId="8" r:id="rId8"/>
    <sheet name="Catholic" sheetId="9" r:id="rId9"/>
    <sheet name="Chicago State" sheetId="59" r:id="rId10"/>
    <sheet name="Clarion" sheetId="10" r:id="rId11"/>
    <sheet name="Dalhousie" sheetId="11" r:id="rId12"/>
    <sheet name="Denver" sheetId="60" r:id="rId13"/>
    <sheet name="Dominican" sheetId="12" r:id="rId14"/>
    <sheet name="Drexel" sheetId="13" r:id="rId15"/>
    <sheet name="East Carolina" sheetId="14" r:id="rId16"/>
    <sheet name="Emporia State" sheetId="15" r:id="rId17"/>
    <sheet name="Florida State" sheetId="16" r:id="rId18"/>
    <sheet name="Hawaii" sheetId="17" r:id="rId19"/>
    <sheet name="Illinois" sheetId="18" r:id="rId20"/>
    <sheet name="Indiana-Bloomington" sheetId="19" r:id="rId21"/>
    <sheet name="Indiana-IUPUI" sheetId="66" r:id="rId22"/>
    <sheet name="Iowa" sheetId="20" r:id="rId23"/>
    <sheet name="Kent State" sheetId="21" r:id="rId24"/>
    <sheet name="Kentucky" sheetId="22" r:id="rId25"/>
    <sheet name="Long Island" sheetId="23" r:id="rId26"/>
    <sheet name="Louisiana State" sheetId="24" r:id="rId27"/>
    <sheet name="Maryland" sheetId="25" r:id="rId28"/>
    <sheet name="McGill" sheetId="26" r:id="rId29"/>
    <sheet name="Michigan" sheetId="61" r:id="rId30"/>
    <sheet name="Missouri" sheetId="27" r:id="rId31"/>
    <sheet name="Montreal" sheetId="28" r:id="rId32"/>
    <sheet name="North Carolina Central" sheetId="29" r:id="rId33"/>
    <sheet name="North Carolina Chapel Hill" sheetId="30" r:id="rId34"/>
    <sheet name="North Carolina Greensboro" sheetId="31" r:id="rId35"/>
    <sheet name="North Texas" sheetId="32" r:id="rId36"/>
    <sheet name="Oklahoma" sheetId="33" r:id="rId37"/>
    <sheet name="Old Dominion" sheetId="69" r:id="rId38"/>
    <sheet name="Ottawa" sheetId="34" r:id="rId39"/>
    <sheet name="Pittsburgh" sheetId="35" r:id="rId40"/>
    <sheet name="Pratt" sheetId="36" r:id="rId41"/>
    <sheet name="Puerto Rico" sheetId="62" r:id="rId42"/>
    <sheet name="Queens" sheetId="37" r:id="rId43"/>
    <sheet name="Rhode Island" sheetId="63" r:id="rId44"/>
    <sheet name="Rutgers" sheetId="38" r:id="rId45"/>
    <sheet name="San Jose State" sheetId="39" r:id="rId46"/>
    <sheet name="Simmons" sheetId="40" r:id="rId47"/>
    <sheet name="South Carolina" sheetId="41" r:id="rId48"/>
    <sheet name="South Florida" sheetId="42" r:id="rId49"/>
    <sheet name="Southern California" sheetId="43" r:id="rId50"/>
    <sheet name="Southern Connecticut" sheetId="65" r:id="rId51"/>
    <sheet name="Southern Mississippi" sheetId="45" r:id="rId52"/>
    <sheet name="St. Catherine" sheetId="46" r:id="rId53"/>
    <sheet name="St. John's" sheetId="47" r:id="rId54"/>
    <sheet name="Syracuse" sheetId="57" r:id="rId55"/>
    <sheet name="Tennessee" sheetId="48" r:id="rId56"/>
    <sheet name="Texas Austin" sheetId="49" r:id="rId57"/>
    <sheet name="Texas Woman's" sheetId="50" r:id="rId58"/>
    <sheet name="Toronto" sheetId="51" r:id="rId59"/>
    <sheet name="Univ College London" sheetId="67" r:id="rId60"/>
    <sheet name="Valdosta State" sheetId="64" r:id="rId61"/>
    <sheet name="Washington" sheetId="52" r:id="rId62"/>
    <sheet name="Wayne State" sheetId="53" r:id="rId63"/>
    <sheet name="Western Ontario" sheetId="54" r:id="rId64"/>
    <sheet name="Wisconsin Madison" sheetId="55" r:id="rId65"/>
    <sheet name="Wisconsin Milwaukee" sheetId="56" r:id="rId6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68" l="1"/>
  <c r="B6" i="68"/>
  <c r="C5" i="68"/>
  <c r="B5" i="68"/>
  <c r="C4" i="68"/>
  <c r="B4" i="68"/>
  <c r="C3" i="68"/>
  <c r="B3" i="68"/>
  <c r="C2" i="68"/>
  <c r="B2" i="68"/>
  <c r="W3" i="17"/>
  <c r="M3" i="17"/>
  <c r="P3" i="17" s="1"/>
  <c r="K3" i="17"/>
  <c r="E3" i="17"/>
  <c r="D3" i="17"/>
  <c r="F3" i="17" s="1"/>
  <c r="W3" i="19"/>
  <c r="P3" i="19"/>
  <c r="D3" i="19"/>
  <c r="P4" i="17"/>
  <c r="P5" i="17"/>
  <c r="W4" i="17"/>
  <c r="W5" i="17"/>
  <c r="W3" i="9"/>
  <c r="T3" i="55"/>
  <c r="W3" i="55" s="1"/>
  <c r="M3" i="55"/>
  <c r="P3" i="55" s="1"/>
  <c r="K3" i="55"/>
  <c r="E3" i="55"/>
  <c r="D3" i="55"/>
  <c r="F3" i="55" s="1"/>
  <c r="T3" i="54" l="1"/>
  <c r="W3" i="54" s="1"/>
  <c r="M3" i="54"/>
  <c r="P3" i="54" s="1"/>
  <c r="K3" i="54"/>
  <c r="E3" i="54"/>
  <c r="D3" i="54"/>
  <c r="F3" i="54" s="1"/>
  <c r="T3" i="53" l="1"/>
  <c r="W3" i="53" s="1"/>
  <c r="M3" i="53"/>
  <c r="P3" i="53" s="1"/>
  <c r="K3" i="53"/>
  <c r="E3" i="53"/>
  <c r="D3" i="53"/>
  <c r="F3" i="53" s="1"/>
  <c r="T3" i="52" l="1"/>
  <c r="W3" i="52" s="1"/>
  <c r="M3" i="52"/>
  <c r="P3" i="52" s="1"/>
  <c r="K3" i="52"/>
  <c r="E3" i="52"/>
  <c r="D3" i="52"/>
  <c r="F3" i="52" s="1"/>
  <c r="T3" i="67" l="1"/>
  <c r="W3" i="67" s="1"/>
  <c r="M3" i="67"/>
  <c r="P3" i="67" s="1"/>
  <c r="F3" i="67"/>
  <c r="E3" i="67"/>
  <c r="W3" i="51" l="1"/>
  <c r="R3" i="51"/>
  <c r="Q3" i="51"/>
  <c r="E3" i="51"/>
  <c r="D3" i="51"/>
  <c r="F3" i="51" s="1"/>
  <c r="T3" i="50" l="1"/>
  <c r="W3" i="50" s="1"/>
  <c r="M3" i="50"/>
  <c r="P3" i="50" s="1"/>
  <c r="K3" i="50"/>
  <c r="E3" i="50"/>
  <c r="D3" i="50"/>
  <c r="F3" i="50" s="1"/>
  <c r="T4" i="49" l="1"/>
  <c r="W4" i="49" s="1"/>
  <c r="M4" i="49"/>
  <c r="P4" i="49" s="1"/>
  <c r="K4" i="49"/>
  <c r="E4" i="49"/>
  <c r="D4" i="49"/>
  <c r="F4" i="49" s="1"/>
  <c r="M3" i="49" l="1"/>
  <c r="P3" i="49" s="1"/>
  <c r="K3" i="49"/>
  <c r="E3" i="49"/>
  <c r="D3" i="49"/>
  <c r="F3" i="49" s="1"/>
  <c r="T3" i="48" l="1"/>
  <c r="W3" i="48" s="1"/>
  <c r="M3" i="48"/>
  <c r="P3" i="48" s="1"/>
  <c r="K3" i="48"/>
  <c r="E3" i="48"/>
  <c r="D3" i="48"/>
  <c r="F3" i="48" s="1"/>
  <c r="T3" i="57" l="1"/>
  <c r="W3" i="57" s="1"/>
  <c r="M3" i="57"/>
  <c r="P3" i="57" s="1"/>
  <c r="K3" i="57"/>
  <c r="E3" i="57"/>
  <c r="D3" i="57"/>
  <c r="F3" i="57" s="1"/>
  <c r="T3" i="47" l="1"/>
  <c r="W3" i="47" s="1"/>
  <c r="M3" i="47"/>
  <c r="P3" i="47" s="1"/>
  <c r="K3" i="47"/>
  <c r="E3" i="47"/>
  <c r="D3" i="47"/>
  <c r="F3" i="47" s="1"/>
  <c r="T3" i="45" l="1"/>
  <c r="W3" i="45" s="1"/>
  <c r="M3" i="45"/>
  <c r="P3" i="45" s="1"/>
  <c r="K3" i="45"/>
  <c r="E3" i="45"/>
  <c r="D3" i="45"/>
  <c r="F3" i="45" s="1"/>
  <c r="T3" i="43" l="1"/>
  <c r="W3" i="43" s="1"/>
  <c r="M3" i="43"/>
  <c r="P3" i="43" s="1"/>
  <c r="K3" i="43"/>
  <c r="E3" i="43"/>
  <c r="D3" i="43"/>
  <c r="F3" i="43" s="1"/>
  <c r="T3" i="42" l="1"/>
  <c r="W3" i="42" s="1"/>
  <c r="M3" i="42"/>
  <c r="P3" i="42" s="1"/>
  <c r="K3" i="42"/>
  <c r="E3" i="42"/>
  <c r="D3" i="42"/>
  <c r="F3" i="42" s="1"/>
  <c r="T3" i="41" l="1"/>
  <c r="W3" i="41" s="1"/>
  <c r="M3" i="41"/>
  <c r="P3" i="41" s="1"/>
  <c r="K3" i="41"/>
  <c r="E3" i="41"/>
  <c r="D3" i="41"/>
  <c r="F3" i="41" s="1"/>
  <c r="T3" i="40" l="1"/>
  <c r="W3" i="40" s="1"/>
  <c r="M3" i="40"/>
  <c r="P3" i="40" s="1"/>
  <c r="K3" i="40"/>
  <c r="E3" i="40"/>
  <c r="D3" i="40"/>
  <c r="F3" i="40" s="1"/>
  <c r="T3" i="39" l="1"/>
  <c r="W3" i="39" s="1"/>
  <c r="M3" i="39"/>
  <c r="P3" i="39" s="1"/>
  <c r="K3" i="39"/>
  <c r="E3" i="39"/>
  <c r="D3" i="39"/>
  <c r="F3" i="39" s="1"/>
  <c r="T3" i="37" l="1"/>
  <c r="W3" i="37" s="1"/>
  <c r="P3" i="37"/>
  <c r="K3" i="37"/>
  <c r="F3" i="37"/>
  <c r="E3" i="37"/>
  <c r="D3" i="37"/>
  <c r="T3" i="38" l="1"/>
  <c r="W3" i="38" s="1"/>
  <c r="M3" i="38"/>
  <c r="P3" i="38" s="1"/>
  <c r="K3" i="38"/>
  <c r="F3" i="38"/>
  <c r="E3" i="38"/>
  <c r="T3" i="36" l="1"/>
  <c r="W3" i="36" s="1"/>
  <c r="M3" i="36"/>
  <c r="K3" i="36"/>
  <c r="E3" i="36"/>
  <c r="D3" i="36"/>
  <c r="F3" i="36" s="1"/>
  <c r="T3" i="35" l="1"/>
  <c r="W3" i="35" s="1"/>
  <c r="M3" i="35"/>
  <c r="P3" i="35" s="1"/>
  <c r="K3" i="35"/>
  <c r="E3" i="35"/>
  <c r="D3" i="35"/>
  <c r="F3" i="35" s="1"/>
  <c r="T3" i="34" l="1"/>
  <c r="W3" i="34" s="1"/>
  <c r="M3" i="34"/>
  <c r="P3" i="34" s="1"/>
  <c r="K3" i="34"/>
  <c r="E3" i="34"/>
  <c r="D3" i="34"/>
  <c r="F3" i="34" s="1"/>
  <c r="T3" i="69"/>
  <c r="W3" i="69" s="1"/>
  <c r="M3" i="69"/>
  <c r="P3" i="69" s="1"/>
  <c r="K3" i="69"/>
  <c r="F3" i="69"/>
  <c r="E3" i="69"/>
  <c r="D3" i="69"/>
  <c r="P3" i="33" l="1"/>
  <c r="K3" i="33"/>
  <c r="E3" i="33"/>
  <c r="D3" i="33"/>
  <c r="F3" i="33" s="1"/>
  <c r="T3" i="32" l="1"/>
  <c r="W3" i="32" s="1"/>
  <c r="M3" i="32"/>
  <c r="P3" i="32" s="1"/>
  <c r="K3" i="32"/>
  <c r="E3" i="32"/>
  <c r="D3" i="32"/>
  <c r="F3" i="32" s="1"/>
  <c r="W3" i="30" l="1"/>
  <c r="T3" i="30"/>
  <c r="M3" i="30"/>
  <c r="P3" i="30" s="1"/>
  <c r="K3" i="30"/>
  <c r="E3" i="30"/>
  <c r="D3" i="30"/>
  <c r="F3" i="30" s="1"/>
  <c r="T3" i="29" l="1"/>
  <c r="W3" i="29" s="1"/>
  <c r="M3" i="29"/>
  <c r="P3" i="29" s="1"/>
  <c r="K3" i="29"/>
  <c r="E3" i="29"/>
  <c r="D3" i="29"/>
  <c r="F3" i="29" s="1"/>
  <c r="U3" i="29" l="1"/>
  <c r="T3" i="28" l="1"/>
  <c r="W3" i="28" s="1"/>
  <c r="M3" i="28"/>
  <c r="P3" i="28" s="1"/>
  <c r="K3" i="28"/>
  <c r="E3" i="28"/>
  <c r="D3" i="28"/>
  <c r="F3" i="28" s="1"/>
  <c r="V3" i="61" l="1"/>
  <c r="U3" i="61"/>
  <c r="T3" i="61"/>
  <c r="M3" i="61"/>
  <c r="P3" i="61" s="1"/>
  <c r="K3" i="61"/>
  <c r="E3" i="61"/>
  <c r="D3" i="61"/>
  <c r="F3" i="61" s="1"/>
  <c r="W3" i="61" l="1"/>
  <c r="W3" i="26"/>
  <c r="L3" i="26"/>
  <c r="M3" i="26" s="1"/>
  <c r="K3" i="26"/>
  <c r="E3" i="26"/>
  <c r="D3" i="26"/>
  <c r="F3" i="26" s="1"/>
  <c r="U3" i="25" l="1"/>
  <c r="T3" i="25" s="1"/>
  <c r="W3" i="25" s="1"/>
  <c r="M3" i="25"/>
  <c r="P3" i="25" s="1"/>
  <c r="K3" i="25"/>
  <c r="G3" i="25"/>
  <c r="E3" i="25"/>
  <c r="C3" i="25"/>
  <c r="H3" i="25" s="1"/>
  <c r="T3" i="24"/>
  <c r="W3" i="24" s="1"/>
  <c r="M3" i="24"/>
  <c r="P3" i="24" s="1"/>
  <c r="K3" i="24"/>
  <c r="F3" i="24"/>
  <c r="E3" i="24"/>
  <c r="D3" i="24"/>
  <c r="D3" i="25" l="1"/>
  <c r="F3" i="25" s="1"/>
  <c r="U3" i="23"/>
  <c r="T3" i="23" s="1"/>
  <c r="W3" i="23" s="1"/>
  <c r="M3" i="23"/>
  <c r="P3" i="23" s="1"/>
  <c r="K3" i="23"/>
  <c r="E3" i="23"/>
  <c r="D3" i="23"/>
  <c r="F3" i="23" s="1"/>
  <c r="T3" i="22" l="1"/>
  <c r="W3" i="22" s="1"/>
  <c r="M3" i="22"/>
  <c r="K3" i="22"/>
  <c r="D3" i="22"/>
  <c r="O3" i="22" l="1"/>
  <c r="F3" i="22" l="1"/>
  <c r="E3" i="22"/>
  <c r="P3" i="22"/>
  <c r="T3" i="21" l="1"/>
  <c r="W3" i="21" s="1"/>
  <c r="M3" i="21"/>
  <c r="P3" i="21" s="1"/>
  <c r="K3" i="21"/>
  <c r="E3" i="21"/>
  <c r="D3" i="21"/>
  <c r="F3" i="21" s="1"/>
  <c r="T3" i="20" l="1"/>
  <c r="W3" i="20" s="1"/>
  <c r="O3" i="20"/>
  <c r="L3" i="20"/>
  <c r="J3" i="20"/>
  <c r="I3" i="20"/>
  <c r="K3" i="20" s="1"/>
  <c r="D3" i="20"/>
  <c r="F3" i="20" l="1"/>
  <c r="M3" i="20"/>
  <c r="P3" i="20" s="1"/>
  <c r="E3" i="20"/>
  <c r="T3" i="66" l="1"/>
  <c r="W3" i="66" s="1"/>
  <c r="H3" i="66"/>
  <c r="E3" i="66"/>
  <c r="D3" i="66"/>
  <c r="F3" i="66" s="1"/>
  <c r="W3" i="18" l="1"/>
  <c r="T3" i="18"/>
  <c r="M3" i="18"/>
  <c r="P3" i="18" s="1"/>
  <c r="K3" i="18"/>
  <c r="E3" i="18"/>
  <c r="D3" i="18"/>
  <c r="F3" i="18" s="1"/>
  <c r="T3" i="16" l="1"/>
  <c r="W3" i="16" s="1"/>
  <c r="P3" i="16"/>
  <c r="K3" i="16"/>
  <c r="E3" i="16"/>
  <c r="D3" i="16"/>
  <c r="F3" i="16" s="1"/>
  <c r="T3" i="15" l="1"/>
  <c r="W3" i="15" s="1"/>
  <c r="M3" i="15"/>
  <c r="P3" i="15" s="1"/>
  <c r="K3" i="15"/>
  <c r="E3" i="15"/>
  <c r="D3" i="15"/>
  <c r="F3" i="15" s="1"/>
  <c r="M3" i="14" l="1"/>
  <c r="K3" i="14"/>
  <c r="D3" i="14"/>
  <c r="T3" i="13" l="1"/>
  <c r="W3" i="13" s="1"/>
  <c r="M3" i="13"/>
  <c r="P3" i="13" s="1"/>
  <c r="K3" i="13"/>
  <c r="E3" i="13"/>
  <c r="D3" i="13"/>
  <c r="F3" i="13" s="1"/>
  <c r="T3" i="12" l="1"/>
  <c r="W3" i="12" s="1"/>
  <c r="L3" i="12"/>
  <c r="M3" i="12" s="1"/>
  <c r="P3" i="12" s="1"/>
  <c r="K3" i="12"/>
  <c r="E3" i="12"/>
  <c r="D3" i="12"/>
  <c r="F3" i="12" s="1"/>
  <c r="T3" i="60" l="1"/>
  <c r="W3" i="60" s="1"/>
  <c r="M3" i="60"/>
  <c r="P3" i="60" s="1"/>
  <c r="K3" i="60"/>
  <c r="E3" i="60"/>
  <c r="D3" i="60"/>
  <c r="F3" i="60" s="1"/>
  <c r="T3" i="11" l="1"/>
  <c r="W3" i="11" s="1"/>
  <c r="M3" i="11"/>
  <c r="P3" i="11" s="1"/>
  <c r="K3" i="11"/>
  <c r="E3" i="11"/>
  <c r="D3" i="11"/>
  <c r="F3" i="11" s="1"/>
  <c r="T3" i="10" l="1"/>
  <c r="P3" i="10"/>
  <c r="M3" i="10"/>
  <c r="K3" i="10"/>
  <c r="F3" i="10"/>
  <c r="E3" i="10"/>
  <c r="D3" i="10"/>
  <c r="T3" i="59" l="1"/>
  <c r="W3" i="59" s="1"/>
  <c r="M3" i="59"/>
  <c r="P3" i="59" s="1"/>
  <c r="K3" i="59"/>
  <c r="E3" i="59"/>
  <c r="D3" i="59"/>
  <c r="F3" i="59" s="1"/>
  <c r="T3" i="8"/>
  <c r="W3" i="8" s="1"/>
  <c r="M3" i="8"/>
  <c r="P3" i="8" s="1"/>
  <c r="K3" i="8"/>
  <c r="E3" i="8"/>
  <c r="D3" i="8"/>
  <c r="F3" i="8" s="1"/>
  <c r="W3" i="7" l="1"/>
  <c r="T3" i="7"/>
  <c r="M3" i="7"/>
  <c r="P3" i="7" s="1"/>
  <c r="K3" i="7"/>
  <c r="E3" i="7"/>
  <c r="D3" i="7"/>
  <c r="F3" i="7" s="1"/>
  <c r="M3" i="6" l="1"/>
  <c r="P3" i="6" s="1"/>
  <c r="K3" i="6"/>
  <c r="F3" i="6"/>
  <c r="E3" i="6"/>
  <c r="T3" i="5" l="1"/>
  <c r="W3" i="5" s="1"/>
  <c r="M3" i="5"/>
  <c r="P3" i="5" s="1"/>
  <c r="K3" i="5"/>
  <c r="E3" i="5"/>
  <c r="D3" i="5"/>
  <c r="F3" i="5" s="1"/>
  <c r="T3" i="58" l="1"/>
  <c r="W3" i="58" s="1"/>
  <c r="M3" i="58"/>
  <c r="P3" i="58" s="1"/>
  <c r="K3" i="58"/>
  <c r="D3" i="58"/>
  <c r="T3" i="4"/>
  <c r="W3" i="4" s="1"/>
  <c r="M3" i="4"/>
  <c r="P3" i="4" s="1"/>
  <c r="K3" i="4"/>
  <c r="E3" i="4"/>
  <c r="D3" i="4"/>
  <c r="F3" i="4" s="1"/>
  <c r="T3" i="2" l="1"/>
  <c r="W3" i="2" s="1"/>
  <c r="M3" i="2"/>
  <c r="P3" i="2" s="1"/>
  <c r="K3" i="2"/>
  <c r="E3" i="2"/>
  <c r="D3" i="2"/>
  <c r="F3" i="2" s="1"/>
  <c r="W5" i="69"/>
  <c r="M5" i="69"/>
  <c r="P5" i="69" s="1"/>
  <c r="K5" i="69"/>
  <c r="E5" i="69"/>
  <c r="D5" i="69"/>
  <c r="F5" i="69" s="1"/>
  <c r="T4" i="69"/>
  <c r="W4" i="69" s="1"/>
  <c r="M4" i="69"/>
  <c r="P4" i="69" s="1"/>
  <c r="K4" i="69"/>
  <c r="E4" i="69"/>
  <c r="D4" i="69"/>
  <c r="F4" i="69" s="1"/>
  <c r="T4" i="55"/>
  <c r="W4" i="55" s="1"/>
  <c r="M4" i="55"/>
  <c r="P4" i="55" s="1"/>
  <c r="K4" i="55"/>
  <c r="E4" i="55"/>
  <c r="D4" i="55"/>
  <c r="F4" i="55" s="1"/>
  <c r="T5" i="67" l="1"/>
  <c r="W5" i="67" s="1"/>
  <c r="L5" i="67"/>
  <c r="M5" i="67" s="1"/>
  <c r="P5" i="67" s="1"/>
  <c r="K5" i="67"/>
  <c r="E5" i="67"/>
  <c r="D5" i="67"/>
  <c r="F5" i="67" s="1"/>
  <c r="T4" i="67" l="1"/>
  <c r="W4" i="67" s="1"/>
  <c r="L4" i="67"/>
  <c r="M4" i="67" s="1"/>
  <c r="P4" i="67" s="1"/>
  <c r="K4" i="67"/>
  <c r="E4" i="67"/>
  <c r="D4" i="67"/>
  <c r="F4" i="67" s="1"/>
  <c r="W4" i="51" l="1"/>
  <c r="M4" i="51"/>
  <c r="P4" i="51" s="1"/>
  <c r="K4" i="51"/>
  <c r="E4" i="51"/>
  <c r="D4" i="51"/>
  <c r="F4" i="51" s="1"/>
  <c r="T4" i="48" l="1"/>
  <c r="W4" i="48" s="1"/>
  <c r="M4" i="48"/>
  <c r="P4" i="48" s="1"/>
  <c r="K4" i="48"/>
  <c r="E4" i="48"/>
  <c r="D4" i="48"/>
  <c r="F4" i="48" s="1"/>
  <c r="W4" i="45" l="1"/>
  <c r="T4" i="38" l="1"/>
  <c r="E4" i="38"/>
  <c r="D4" i="38"/>
  <c r="F4" i="38" s="1"/>
  <c r="T4" i="36" l="1"/>
  <c r="W4" i="36" s="1"/>
  <c r="M4" i="36"/>
  <c r="P4" i="36" s="1"/>
  <c r="K4" i="36"/>
  <c r="E4" i="36"/>
  <c r="D4" i="36"/>
  <c r="F4" i="36" s="1"/>
  <c r="T4" i="35" l="1"/>
  <c r="W4" i="35" s="1"/>
  <c r="M4" i="35"/>
  <c r="P4" i="35" s="1"/>
  <c r="K4" i="35"/>
  <c r="E4" i="35"/>
  <c r="D4" i="35"/>
  <c r="F4" i="35" s="1"/>
  <c r="W4" i="34" l="1"/>
  <c r="P4" i="34"/>
  <c r="M4" i="34"/>
  <c r="K4" i="34"/>
  <c r="H4" i="34"/>
  <c r="E4" i="34"/>
  <c r="C4" i="34"/>
  <c r="D4" i="34" s="1"/>
  <c r="F4" i="34" s="1"/>
  <c r="T4" i="33"/>
  <c r="M4" i="33"/>
  <c r="P4" i="33" s="1"/>
  <c r="K4" i="33"/>
  <c r="E4" i="33"/>
  <c r="D4" i="33"/>
  <c r="F4" i="33" s="1"/>
  <c r="T4" i="30" l="1"/>
  <c r="W4" i="30" s="1"/>
  <c r="M4" i="30"/>
  <c r="P4" i="30" s="1"/>
  <c r="K4" i="30"/>
  <c r="E4" i="30"/>
  <c r="D4" i="30"/>
  <c r="F4" i="30" s="1"/>
  <c r="W5" i="27" l="1"/>
  <c r="M5" i="27"/>
  <c r="P5" i="27" s="1"/>
  <c r="K5" i="27"/>
  <c r="E5" i="27"/>
  <c r="T4" i="26"/>
  <c r="W4" i="26" s="1"/>
  <c r="M4" i="26"/>
  <c r="K4" i="26"/>
  <c r="E4" i="26"/>
  <c r="D4" i="26"/>
  <c r="F4" i="26" s="1"/>
  <c r="P4" i="26" l="1"/>
  <c r="P3" i="26"/>
  <c r="T4" i="23"/>
  <c r="W4" i="23" s="1"/>
  <c r="M4" i="23"/>
  <c r="P4" i="23" s="1"/>
  <c r="K4" i="23"/>
  <c r="D4" i="23"/>
  <c r="T4" i="22" l="1"/>
  <c r="W4" i="22" s="1"/>
  <c r="M4" i="22"/>
  <c r="P4" i="22" s="1"/>
  <c r="K4" i="22"/>
  <c r="E4" i="22"/>
  <c r="D4" i="22"/>
  <c r="F4" i="22" s="1"/>
  <c r="W4" i="21" l="1"/>
  <c r="M4" i="21"/>
  <c r="P4" i="21" s="1"/>
  <c r="K4" i="21"/>
  <c r="E4" i="21"/>
  <c r="D4" i="21"/>
  <c r="F4" i="21" s="1"/>
  <c r="T4" i="9" l="1"/>
  <c r="W4" i="7" l="1"/>
  <c r="T4" i="7"/>
  <c r="M4" i="7"/>
  <c r="P4" i="7" s="1"/>
  <c r="K4" i="7"/>
  <c r="E4" i="7"/>
  <c r="D4" i="7"/>
  <c r="F4" i="7" s="1"/>
  <c r="T4" i="6"/>
  <c r="W4" i="6" s="1"/>
  <c r="M4" i="6"/>
  <c r="P4" i="6" s="1"/>
  <c r="K4" i="6"/>
  <c r="E4" i="6"/>
  <c r="D4" i="6"/>
  <c r="F4" i="6" s="1"/>
  <c r="W4" i="53" l="1"/>
  <c r="M4" i="53"/>
  <c r="P4" i="53" s="1"/>
  <c r="K4" i="53"/>
  <c r="E4" i="53"/>
  <c r="D4" i="53"/>
  <c r="F4" i="53" s="1"/>
  <c r="T5" i="52" l="1"/>
  <c r="W5" i="52" s="1"/>
  <c r="M5" i="52"/>
  <c r="P5" i="52" s="1"/>
  <c r="K5" i="52"/>
  <c r="E5" i="52"/>
  <c r="D5" i="52"/>
  <c r="F5" i="52" s="1"/>
  <c r="T4" i="52"/>
  <c r="W4" i="52" s="1"/>
  <c r="M4" i="52"/>
  <c r="P4" i="52" s="1"/>
  <c r="K4" i="52"/>
  <c r="E4" i="52"/>
  <c r="D4" i="52"/>
  <c r="F4" i="52" s="1"/>
  <c r="T4" i="50" l="1"/>
  <c r="W4" i="50" s="1"/>
  <c r="M4" i="50"/>
  <c r="P4" i="50" s="1"/>
  <c r="K4" i="50"/>
  <c r="E4" i="50"/>
  <c r="D4" i="50"/>
  <c r="F4" i="50" s="1"/>
  <c r="T4" i="57" l="1"/>
  <c r="W4" i="57" s="1"/>
  <c r="M4" i="57"/>
  <c r="P4" i="57" s="1"/>
  <c r="K4" i="57"/>
  <c r="E4" i="57"/>
  <c r="D4" i="57"/>
  <c r="F4" i="57" s="1"/>
  <c r="U4" i="40" l="1"/>
  <c r="T4" i="40" s="1"/>
  <c r="W4" i="40" s="1"/>
  <c r="P4" i="40"/>
  <c r="E4" i="40"/>
  <c r="D4" i="40"/>
  <c r="F4" i="40" s="1"/>
  <c r="T4" i="39" l="1"/>
  <c r="W4" i="39" s="1"/>
  <c r="M4" i="39"/>
  <c r="P4" i="39" s="1"/>
  <c r="K4" i="39"/>
  <c r="F4" i="39"/>
  <c r="E4" i="39"/>
  <c r="D4" i="39"/>
  <c r="T4" i="28" l="1"/>
  <c r="W4" i="28" s="1"/>
  <c r="M4" i="28"/>
  <c r="P4" i="28" s="1"/>
  <c r="K4" i="28"/>
  <c r="E4" i="28"/>
  <c r="D4" i="28"/>
  <c r="F4" i="28" s="1"/>
  <c r="T4" i="25" l="1"/>
  <c r="W4" i="25" s="1"/>
  <c r="M4" i="25"/>
  <c r="P4" i="25" s="1"/>
  <c r="K4" i="25"/>
  <c r="F4" i="25"/>
  <c r="E4" i="25"/>
  <c r="T4" i="66" l="1"/>
  <c r="W4" i="66" s="1"/>
  <c r="M4" i="66"/>
  <c r="P4" i="66" s="1"/>
  <c r="K4" i="66"/>
  <c r="E4" i="66"/>
  <c r="D4" i="66"/>
  <c r="F4" i="66" s="1"/>
  <c r="T4" i="19" l="1"/>
  <c r="W4" i="19" s="1"/>
  <c r="M4" i="19"/>
  <c r="P4" i="19" s="1"/>
  <c r="K4" i="19"/>
  <c r="E4" i="19"/>
  <c r="D4" i="19"/>
  <c r="F4" i="19" s="1"/>
  <c r="T4" i="18" l="1"/>
  <c r="W4" i="18" s="1"/>
  <c r="M4" i="18"/>
  <c r="P4" i="18" s="1"/>
  <c r="K4" i="18"/>
  <c r="E4" i="18"/>
  <c r="D4" i="18"/>
  <c r="F4" i="18" s="1"/>
  <c r="T4" i="16" l="1"/>
  <c r="W4" i="16" s="1"/>
  <c r="M4" i="16"/>
  <c r="P4" i="16" s="1"/>
  <c r="K4" i="16"/>
  <c r="E4" i="16"/>
  <c r="D4" i="16"/>
  <c r="F4" i="16" s="1"/>
  <c r="T4" i="12" l="1"/>
  <c r="W4" i="12" s="1"/>
  <c r="L4" i="12"/>
  <c r="M4" i="12" s="1"/>
  <c r="P4" i="12" s="1"/>
  <c r="K4" i="12"/>
  <c r="E4" i="12"/>
  <c r="D4" i="12"/>
  <c r="F4" i="12" s="1"/>
  <c r="T4" i="60" l="1"/>
  <c r="W4" i="60" s="1"/>
  <c r="M4" i="60"/>
  <c r="P4" i="60" s="1"/>
  <c r="K4" i="60"/>
  <c r="E4" i="60"/>
  <c r="D4" i="60"/>
  <c r="F4" i="60" s="1"/>
  <c r="T4" i="8" l="1"/>
  <c r="W4" i="8" s="1"/>
  <c r="M4" i="8"/>
  <c r="P4" i="8" s="1"/>
  <c r="K4" i="8"/>
  <c r="E4" i="8"/>
  <c r="D4" i="8"/>
  <c r="F4" i="8" s="1"/>
  <c r="T5" i="54" l="1"/>
  <c r="W5" i="54" s="1"/>
  <c r="M5" i="54"/>
  <c r="P5" i="54" s="1"/>
  <c r="K5" i="54"/>
  <c r="E5" i="54"/>
  <c r="D5" i="54"/>
  <c r="F5" i="54" s="1"/>
  <c r="T4" i="54"/>
  <c r="W4" i="54" s="1"/>
  <c r="M4" i="54"/>
  <c r="P4" i="54" s="1"/>
  <c r="E4" i="54"/>
  <c r="D4" i="54"/>
  <c r="F4" i="54" s="1"/>
  <c r="F4" i="64" l="1"/>
  <c r="E4" i="64"/>
  <c r="T4" i="47" l="1"/>
  <c r="W4" i="47" s="1"/>
  <c r="M4" i="47"/>
  <c r="P4" i="47" s="1"/>
  <c r="K4" i="47"/>
  <c r="E4" i="47"/>
  <c r="D4" i="47"/>
  <c r="F4" i="47" s="1"/>
  <c r="W4" i="46" l="1"/>
  <c r="T4" i="65" l="1"/>
  <c r="P4" i="65"/>
  <c r="K4" i="65"/>
  <c r="D4" i="65"/>
  <c r="T4" i="43" l="1"/>
  <c r="W4" i="43" s="1"/>
  <c r="M4" i="43"/>
  <c r="P4" i="43" s="1"/>
  <c r="K4" i="43"/>
  <c r="E4" i="43"/>
  <c r="D4" i="43"/>
  <c r="F4" i="43" s="1"/>
  <c r="T4" i="41"/>
  <c r="W4" i="41" s="1"/>
  <c r="M4" i="41"/>
  <c r="P4" i="41" s="1"/>
  <c r="K4" i="41"/>
  <c r="E4" i="41"/>
  <c r="D4" i="41"/>
  <c r="F4" i="41" s="1"/>
  <c r="W4" i="42"/>
  <c r="M4" i="42"/>
  <c r="P4" i="42" s="1"/>
  <c r="K4" i="42"/>
  <c r="E4" i="42"/>
  <c r="D4" i="42"/>
  <c r="F4" i="42" s="1"/>
  <c r="T4" i="37" l="1"/>
  <c r="W4" i="37" s="1"/>
  <c r="M4" i="37"/>
  <c r="P4" i="37" s="1"/>
  <c r="K4" i="37"/>
  <c r="E4" i="37"/>
  <c r="D4" i="37"/>
  <c r="F4" i="37" s="1"/>
  <c r="T4" i="32" l="1"/>
  <c r="W4" i="32" s="1"/>
  <c r="M4" i="32"/>
  <c r="P4" i="32" s="1"/>
  <c r="K4" i="32"/>
  <c r="E4" i="32"/>
  <c r="D4" i="32"/>
  <c r="F4" i="32" s="1"/>
  <c r="T4" i="29" l="1"/>
  <c r="W4" i="29" s="1"/>
  <c r="M4" i="29"/>
  <c r="P4" i="29" s="1"/>
  <c r="K4" i="29"/>
  <c r="E4" i="29"/>
  <c r="D4" i="29"/>
  <c r="F4" i="29" s="1"/>
  <c r="U4" i="29" l="1"/>
  <c r="T4" i="61" l="1"/>
  <c r="W4" i="61" s="1"/>
  <c r="M4" i="61"/>
  <c r="P4" i="61" s="1"/>
  <c r="K4" i="61"/>
  <c r="E4" i="61"/>
  <c r="D4" i="61"/>
  <c r="F4" i="61" s="1"/>
  <c r="T4" i="24" l="1"/>
  <c r="W4" i="24" s="1"/>
  <c r="M4" i="24"/>
  <c r="P4" i="24" s="1"/>
  <c r="K4" i="24"/>
  <c r="E4" i="24"/>
  <c r="D4" i="24"/>
  <c r="F4" i="24" s="1"/>
  <c r="T4" i="20" l="1"/>
  <c r="W4" i="20" s="1"/>
  <c r="M4" i="20"/>
  <c r="P4" i="20" s="1"/>
  <c r="K4" i="20"/>
  <c r="E4" i="20"/>
  <c r="D4" i="20"/>
  <c r="F4" i="20" s="1"/>
  <c r="T4" i="15" l="1"/>
  <c r="W4" i="15" s="1"/>
  <c r="M4" i="15"/>
  <c r="P4" i="15" s="1"/>
  <c r="K4" i="15"/>
  <c r="E4" i="15"/>
  <c r="D4" i="15"/>
  <c r="F4" i="15" s="1"/>
  <c r="T4" i="14" l="1"/>
  <c r="W4" i="14" s="1"/>
  <c r="M4" i="14"/>
  <c r="P4" i="14" s="1"/>
  <c r="K4" i="14"/>
  <c r="E4" i="14"/>
  <c r="D4" i="14"/>
  <c r="F4" i="14" s="1"/>
  <c r="T4" i="13" l="1"/>
  <c r="W4" i="13" s="1"/>
  <c r="M4" i="13"/>
  <c r="P4" i="13" s="1"/>
  <c r="K4" i="13"/>
  <c r="E4" i="13"/>
  <c r="D4" i="13"/>
  <c r="F4" i="13" s="1"/>
  <c r="T4" i="11" l="1"/>
  <c r="W4" i="11" s="1"/>
  <c r="M4" i="11"/>
  <c r="P4" i="11" s="1"/>
  <c r="K4" i="11"/>
  <c r="E4" i="11"/>
  <c r="D4" i="11"/>
  <c r="F4" i="11" s="1"/>
  <c r="T4" i="5" l="1"/>
  <c r="W4" i="5" s="1"/>
  <c r="M4" i="5"/>
  <c r="P4" i="5" s="1"/>
  <c r="K4" i="5"/>
  <c r="E4" i="5"/>
  <c r="D4" i="5"/>
  <c r="F4" i="5" s="1"/>
  <c r="W4" i="4" l="1"/>
  <c r="R4" i="4"/>
  <c r="N4" i="4"/>
  <c r="L4" i="4"/>
  <c r="M4" i="4" s="1"/>
  <c r="P4" i="4" s="1"/>
  <c r="K4" i="4"/>
  <c r="E4" i="4"/>
  <c r="D4" i="4"/>
  <c r="F4" i="4" s="1"/>
  <c r="T4" i="2" l="1"/>
  <c r="W4" i="2" s="1"/>
  <c r="M4" i="2"/>
  <c r="P4" i="2" s="1"/>
  <c r="K4" i="2"/>
  <c r="E4" i="2"/>
  <c r="D4" i="2"/>
  <c r="F4" i="2" s="1"/>
  <c r="T5" i="8" l="1"/>
  <c r="W5" i="8" s="1"/>
  <c r="M5" i="8"/>
  <c r="P5" i="8" s="1"/>
  <c r="K5" i="8"/>
  <c r="E5" i="8"/>
  <c r="D5" i="8"/>
  <c r="F5" i="8" s="1"/>
  <c r="T5" i="34" l="1"/>
  <c r="W5" i="34" s="1"/>
  <c r="M5" i="34"/>
  <c r="P5" i="34" s="1"/>
  <c r="K5" i="34"/>
  <c r="E5" i="34"/>
  <c r="D5" i="34"/>
  <c r="F5" i="34" s="1"/>
  <c r="T5" i="56" l="1"/>
  <c r="W5" i="56" s="1"/>
  <c r="M5" i="56"/>
  <c r="P5" i="56" s="1"/>
  <c r="K5" i="56"/>
  <c r="T5" i="55" l="1"/>
  <c r="W5" i="55" s="1"/>
  <c r="M5" i="55"/>
  <c r="P5" i="55" s="1"/>
  <c r="K5" i="55"/>
  <c r="E5" i="55"/>
  <c r="D5" i="55"/>
  <c r="F5" i="55" s="1"/>
  <c r="T5" i="53" l="1"/>
  <c r="W5" i="53" s="1"/>
  <c r="M5" i="53"/>
  <c r="P5" i="53" s="1"/>
  <c r="K5" i="53"/>
  <c r="E5" i="53"/>
  <c r="D5" i="53"/>
  <c r="F5" i="53" s="1"/>
  <c r="W5" i="51" l="1"/>
  <c r="O5" i="51"/>
  <c r="E5" i="51" s="1"/>
  <c r="L5" i="51"/>
  <c r="M5" i="51" s="1"/>
  <c r="K5" i="51"/>
  <c r="D5" i="51"/>
  <c r="P5" i="51" l="1"/>
  <c r="F5" i="51"/>
  <c r="T5" i="50" l="1"/>
  <c r="W5" i="50" s="1"/>
  <c r="M5" i="50"/>
  <c r="P5" i="50" s="1"/>
  <c r="K5" i="50"/>
  <c r="E5" i="50"/>
  <c r="D5" i="50"/>
  <c r="F5" i="50" s="1"/>
  <c r="T5" i="48" l="1"/>
  <c r="W5" i="48" s="1"/>
  <c r="S5" i="48"/>
  <c r="M5" i="48"/>
  <c r="P5" i="48" s="1"/>
  <c r="K5" i="48"/>
  <c r="E5" i="48"/>
  <c r="D5" i="48"/>
  <c r="F5" i="48" s="1"/>
  <c r="T5" i="57" l="1"/>
  <c r="W5" i="57" s="1"/>
  <c r="M5" i="57"/>
  <c r="P5" i="57" s="1"/>
  <c r="K5" i="57"/>
  <c r="E5" i="57"/>
  <c r="D5" i="57"/>
  <c r="F5" i="57" s="1"/>
  <c r="T5" i="45" l="1"/>
  <c r="W5" i="45" s="1"/>
  <c r="M5" i="45"/>
  <c r="P5" i="45" s="1"/>
  <c r="K5" i="45"/>
  <c r="E5" i="45"/>
  <c r="D5" i="45"/>
  <c r="F5" i="45" s="1"/>
  <c r="T5" i="40" l="1"/>
  <c r="W5" i="40" s="1"/>
  <c r="M5" i="40"/>
  <c r="P5" i="40" s="1"/>
  <c r="K5" i="40"/>
  <c r="E5" i="40"/>
  <c r="D5" i="40"/>
  <c r="F5" i="40" s="1"/>
  <c r="T5" i="39" l="1"/>
  <c r="W5" i="39" s="1"/>
  <c r="M5" i="39"/>
  <c r="P5" i="39" s="1"/>
  <c r="K5" i="39"/>
  <c r="E5" i="39"/>
  <c r="D5" i="39"/>
  <c r="F5" i="39" s="1"/>
  <c r="T5" i="38" l="1"/>
  <c r="W5" i="38" s="1"/>
  <c r="M5" i="38"/>
  <c r="P5" i="38" s="1"/>
  <c r="K5" i="38"/>
  <c r="E5" i="38"/>
  <c r="D5" i="38"/>
  <c r="F5" i="38" s="1"/>
  <c r="M5" i="62" l="1"/>
  <c r="P5" i="62" s="1"/>
  <c r="T5" i="36" l="1"/>
  <c r="W5" i="36" s="1"/>
  <c r="M5" i="36"/>
  <c r="P5" i="36" s="1"/>
  <c r="K5" i="36"/>
  <c r="E5" i="36"/>
  <c r="D5" i="36"/>
  <c r="F5" i="36" s="1"/>
  <c r="T5" i="64" l="1"/>
  <c r="W5" i="64" s="1"/>
  <c r="M5" i="64"/>
  <c r="K5" i="64"/>
  <c r="E5" i="64"/>
  <c r="D5" i="64"/>
  <c r="F5" i="64" s="1"/>
  <c r="T5" i="43" l="1"/>
  <c r="W5" i="43" s="1"/>
  <c r="M5" i="43"/>
  <c r="P5" i="43" s="1"/>
  <c r="K5" i="43"/>
  <c r="E5" i="43"/>
  <c r="D5" i="43"/>
  <c r="F5" i="43" s="1"/>
  <c r="T5" i="49" l="1"/>
  <c r="W5" i="49" s="1"/>
  <c r="M5" i="49"/>
  <c r="P5" i="49" s="1"/>
  <c r="K5" i="49"/>
  <c r="E5" i="49"/>
  <c r="D5" i="49"/>
  <c r="F5" i="49" s="1"/>
  <c r="T5" i="47" l="1"/>
  <c r="W5" i="47" s="1"/>
  <c r="M5" i="47"/>
  <c r="K5" i="47"/>
  <c r="D5" i="47"/>
  <c r="F5" i="47" l="1"/>
  <c r="E5" i="47"/>
  <c r="P5" i="47"/>
  <c r="T5" i="46"/>
  <c r="W5" i="46" s="1"/>
  <c r="M5" i="46"/>
  <c r="P5" i="46" s="1"/>
  <c r="K5" i="46"/>
  <c r="E5" i="46"/>
  <c r="D5" i="46"/>
  <c r="F5" i="46" s="1"/>
  <c r="W5" i="42" l="1"/>
  <c r="M5" i="42"/>
  <c r="P5" i="42" s="1"/>
  <c r="K5" i="42"/>
  <c r="E5" i="42"/>
  <c r="D5" i="42"/>
  <c r="F5" i="42" s="1"/>
  <c r="T5" i="41" l="1"/>
  <c r="W5" i="41" s="1"/>
  <c r="M5" i="41"/>
  <c r="P5" i="41" s="1"/>
  <c r="K5" i="41"/>
  <c r="E5" i="41"/>
  <c r="D5" i="41"/>
  <c r="F5" i="41" s="1"/>
  <c r="T5" i="65" l="1"/>
  <c r="M5" i="65"/>
  <c r="P5" i="65" s="1"/>
  <c r="K5" i="65"/>
  <c r="E5" i="65"/>
  <c r="D5" i="65"/>
  <c r="F5" i="65" s="1"/>
  <c r="T5" i="37" l="1"/>
  <c r="W5" i="37" s="1"/>
  <c r="M5" i="37"/>
  <c r="P5" i="37" s="1"/>
  <c r="K5" i="37"/>
  <c r="E5" i="37"/>
  <c r="D5" i="37"/>
  <c r="F5" i="37" s="1"/>
  <c r="T5" i="32" l="1"/>
  <c r="W5" i="32" s="1"/>
  <c r="M5" i="32"/>
  <c r="P5" i="32" s="1"/>
  <c r="K5" i="32"/>
  <c r="E5" i="32"/>
  <c r="D5" i="32"/>
  <c r="F5" i="32" s="1"/>
  <c r="T5" i="35" l="1"/>
  <c r="W5" i="35" s="1"/>
  <c r="M5" i="35"/>
  <c r="P5" i="35" s="1"/>
  <c r="K5" i="35"/>
  <c r="E5" i="35"/>
  <c r="D5" i="35"/>
  <c r="F5" i="35" s="1"/>
  <c r="T5" i="33" l="1"/>
  <c r="W5" i="33" s="1"/>
  <c r="M5" i="33"/>
  <c r="P5" i="33" s="1"/>
  <c r="K5" i="33"/>
  <c r="E5" i="33"/>
  <c r="D5" i="33"/>
  <c r="F5" i="33" s="1"/>
  <c r="T5" i="30" l="1"/>
  <c r="W5" i="30" s="1"/>
  <c r="M5" i="30"/>
  <c r="P5" i="30" s="1"/>
  <c r="K5" i="30"/>
  <c r="E5" i="30"/>
  <c r="D5" i="30"/>
  <c r="F5" i="30" s="1"/>
  <c r="V5" i="29" l="1"/>
  <c r="W5" i="29" s="1"/>
  <c r="P5" i="29"/>
  <c r="E5" i="29"/>
  <c r="D5" i="29"/>
  <c r="F5" i="29" s="1"/>
  <c r="U5" i="29" l="1"/>
  <c r="T5" i="28" l="1"/>
  <c r="W5" i="28" s="1"/>
  <c r="M5" i="28"/>
  <c r="P5" i="28" s="1"/>
  <c r="K5" i="28"/>
  <c r="E5" i="28"/>
  <c r="D5" i="28"/>
  <c r="F5" i="28" s="1"/>
  <c r="W6" i="27" l="1"/>
  <c r="W5" i="61" l="1"/>
  <c r="M5" i="61"/>
  <c r="P5" i="61" s="1"/>
  <c r="K5" i="61"/>
  <c r="E5" i="61"/>
  <c r="D5" i="61"/>
  <c r="F5" i="61" s="1"/>
  <c r="T5" i="26" l="1"/>
  <c r="W5" i="26" s="1"/>
  <c r="M5" i="26"/>
  <c r="P5" i="26" s="1"/>
  <c r="K5" i="26"/>
  <c r="E5" i="26"/>
  <c r="D5" i="26"/>
  <c r="F5" i="26" s="1"/>
  <c r="T5" i="25" l="1"/>
  <c r="W5" i="25" s="1"/>
  <c r="M5" i="25"/>
  <c r="P5" i="25" s="1"/>
  <c r="K5" i="25"/>
  <c r="E5" i="25"/>
  <c r="D5" i="25"/>
  <c r="F5" i="25" s="1"/>
  <c r="T5" i="24" l="1"/>
  <c r="W5" i="24" s="1"/>
  <c r="M5" i="24"/>
  <c r="P5" i="24" s="1"/>
  <c r="K5" i="24"/>
  <c r="E5" i="24"/>
  <c r="D5" i="24"/>
  <c r="F5" i="24" s="1"/>
  <c r="W5" i="23" l="1"/>
  <c r="M5" i="23"/>
  <c r="P5" i="23" s="1"/>
  <c r="K5" i="23"/>
  <c r="E5" i="23"/>
  <c r="D5" i="23"/>
  <c r="F5" i="23" s="1"/>
  <c r="T5" i="22" l="1"/>
  <c r="W5" i="22" s="1"/>
  <c r="M5" i="22"/>
  <c r="P5" i="22" s="1"/>
  <c r="K5" i="22"/>
  <c r="E5" i="22"/>
  <c r="D5" i="22"/>
  <c r="F5" i="22" s="1"/>
  <c r="W5" i="21" l="1"/>
  <c r="M5" i="21"/>
  <c r="P5" i="21" s="1"/>
  <c r="K5" i="21"/>
  <c r="E5" i="21"/>
  <c r="D5" i="21"/>
  <c r="F5" i="21" s="1"/>
  <c r="T5" i="20" l="1"/>
  <c r="W5" i="20" s="1"/>
  <c r="M5" i="20"/>
  <c r="P5" i="20" s="1"/>
  <c r="K5" i="20"/>
  <c r="E5" i="20"/>
  <c r="D5" i="20"/>
  <c r="F5" i="20" s="1"/>
  <c r="T5" i="66" l="1"/>
  <c r="M5" i="66"/>
  <c r="P5" i="66" s="1"/>
  <c r="K5" i="66"/>
  <c r="T5" i="19" l="1"/>
  <c r="W5" i="19" s="1"/>
  <c r="M5" i="19"/>
  <c r="P5" i="19" s="1"/>
  <c r="K5" i="19"/>
  <c r="E5" i="19"/>
  <c r="D5" i="19"/>
  <c r="F5" i="19" s="1"/>
  <c r="V5" i="18" l="1"/>
  <c r="T5" i="18" s="1"/>
  <c r="R5" i="18"/>
  <c r="Q5" i="18"/>
  <c r="L5" i="18"/>
  <c r="M5" i="18" s="1"/>
  <c r="P5" i="18" s="1"/>
  <c r="K5" i="18"/>
  <c r="E5" i="18"/>
  <c r="D5" i="18"/>
  <c r="F5" i="18" s="1"/>
  <c r="W5" i="18" l="1"/>
  <c r="M5" i="17" l="1"/>
  <c r="V5" i="16" l="1"/>
  <c r="T5" i="16" s="1"/>
  <c r="R5" i="16"/>
  <c r="Q5" i="16"/>
  <c r="L5" i="16"/>
  <c r="J5" i="16"/>
  <c r="I5" i="16"/>
  <c r="F5" i="16"/>
  <c r="E5" i="16"/>
  <c r="D5" i="16"/>
  <c r="K5" i="16" l="1"/>
  <c r="W5" i="16"/>
  <c r="M5" i="16"/>
  <c r="P5" i="16" s="1"/>
  <c r="T5" i="15"/>
  <c r="W5" i="15" s="1"/>
  <c r="M5" i="15"/>
  <c r="P5" i="15" s="1"/>
  <c r="K5" i="15"/>
  <c r="E5" i="15"/>
  <c r="D5" i="15"/>
  <c r="F5" i="15" s="1"/>
  <c r="T5" i="14" l="1"/>
  <c r="W5" i="14" s="1"/>
  <c r="M5" i="14"/>
  <c r="P5" i="14" s="1"/>
  <c r="K5" i="14"/>
  <c r="E5" i="14"/>
  <c r="D5" i="14"/>
  <c r="F5" i="14" s="1"/>
  <c r="V5" i="13" l="1"/>
  <c r="T5" i="13" s="1"/>
  <c r="M5" i="13"/>
  <c r="P5" i="13" s="1"/>
  <c r="K5" i="13"/>
  <c r="E5" i="13"/>
  <c r="D5" i="13"/>
  <c r="F5" i="13" s="1"/>
  <c r="W5" i="13" l="1"/>
  <c r="T5" i="60" l="1"/>
  <c r="W5" i="60" s="1"/>
  <c r="M5" i="60"/>
  <c r="P5" i="60" s="1"/>
  <c r="K5" i="60"/>
  <c r="E5" i="60"/>
  <c r="D5" i="60"/>
  <c r="F5" i="60" s="1"/>
  <c r="U5" i="12" l="1"/>
  <c r="T5" i="12" s="1"/>
  <c r="W5" i="12" s="1"/>
  <c r="S5" i="12"/>
  <c r="L5" i="12"/>
  <c r="M5" i="12" s="1"/>
  <c r="P5" i="12" s="1"/>
  <c r="K5" i="12"/>
  <c r="E5" i="12"/>
  <c r="D5" i="12"/>
  <c r="F5" i="12" s="1"/>
  <c r="T5" i="11" l="1"/>
  <c r="W5" i="11" s="1"/>
  <c r="M5" i="11"/>
  <c r="P5" i="11" s="1"/>
  <c r="F5" i="11"/>
  <c r="E5" i="11"/>
  <c r="T5" i="10" l="1"/>
  <c r="W5" i="10" s="1"/>
  <c r="M5" i="10"/>
  <c r="P5" i="10" s="1"/>
  <c r="K5" i="10"/>
  <c r="D5" i="10"/>
  <c r="F5" i="10" s="1"/>
  <c r="E5" i="10" l="1"/>
  <c r="T5" i="59" l="1"/>
  <c r="W5" i="59" s="1"/>
  <c r="L5" i="59"/>
  <c r="M5" i="59" s="1"/>
  <c r="P5" i="59" s="1"/>
  <c r="K5" i="59"/>
  <c r="E5" i="59"/>
  <c r="D5" i="59"/>
  <c r="F5" i="59" s="1"/>
  <c r="T5" i="9" l="1"/>
  <c r="W5" i="9" s="1"/>
  <c r="M5" i="9"/>
  <c r="P5" i="9" s="1"/>
  <c r="K5" i="9"/>
  <c r="E5" i="9"/>
  <c r="D5" i="9"/>
  <c r="F5" i="9" s="1"/>
  <c r="W5" i="7" l="1"/>
  <c r="T5" i="7"/>
  <c r="M5" i="7"/>
  <c r="P5" i="7" s="1"/>
  <c r="K5" i="7"/>
  <c r="E5" i="7"/>
  <c r="D5" i="7"/>
  <c r="F5" i="7" s="1"/>
  <c r="U5" i="6" l="1"/>
  <c r="T5" i="6" s="1"/>
  <c r="W5" i="6" s="1"/>
  <c r="M5" i="6"/>
  <c r="P5" i="6" s="1"/>
  <c r="K5" i="6"/>
  <c r="E5" i="6"/>
  <c r="D5" i="6"/>
  <c r="F5" i="6" s="1"/>
  <c r="W5" i="5" l="1"/>
  <c r="T5" i="58" l="1"/>
  <c r="W5" i="58" s="1"/>
  <c r="M5" i="58"/>
  <c r="P5" i="58" s="1"/>
  <c r="K5" i="58"/>
  <c r="E5" i="58"/>
  <c r="D5" i="58"/>
  <c r="F5" i="58" s="1"/>
  <c r="T6" i="58" l="1"/>
  <c r="W6" i="58" s="1"/>
  <c r="M6" i="58"/>
  <c r="P6" i="58" s="1"/>
  <c r="K6" i="58"/>
  <c r="E6" i="58"/>
  <c r="D6" i="58"/>
  <c r="F6" i="58" s="1"/>
  <c r="T5" i="4" l="1"/>
  <c r="W5" i="4" s="1"/>
  <c r="M5" i="4"/>
  <c r="P5" i="4" s="1"/>
  <c r="K5" i="4"/>
  <c r="E5" i="4"/>
  <c r="D5" i="4"/>
  <c r="F5" i="4" s="1"/>
  <c r="T5" i="2" l="1"/>
  <c r="W5" i="2" s="1"/>
  <c r="M5" i="2"/>
  <c r="P5" i="2" s="1"/>
  <c r="K5" i="2"/>
  <c r="E5" i="2"/>
  <c r="D5" i="2"/>
  <c r="F5" i="2" s="1"/>
  <c r="T22" i="29" l="1"/>
  <c r="W22" i="29" s="1"/>
  <c r="O22" i="29"/>
  <c r="E22" i="29" s="1"/>
  <c r="L22" i="29"/>
  <c r="M22" i="29" s="1"/>
  <c r="K22" i="29"/>
  <c r="C22" i="29"/>
  <c r="D22" i="29" s="1"/>
  <c r="T21" i="29"/>
  <c r="W21" i="29" s="1"/>
  <c r="M21" i="29"/>
  <c r="P21" i="29" s="1"/>
  <c r="K21" i="29"/>
  <c r="E21" i="29"/>
  <c r="D21" i="29"/>
  <c r="F21" i="29" s="1"/>
  <c r="T20" i="29"/>
  <c r="W20" i="29" s="1"/>
  <c r="M20" i="29"/>
  <c r="P20" i="29" s="1"/>
  <c r="K20" i="29"/>
  <c r="E20" i="29"/>
  <c r="D20" i="29"/>
  <c r="F20" i="29" s="1"/>
  <c r="T19" i="29"/>
  <c r="W19" i="29" s="1"/>
  <c r="M19" i="29"/>
  <c r="P19" i="29" s="1"/>
  <c r="K19" i="29"/>
  <c r="E19" i="29"/>
  <c r="D19" i="29"/>
  <c r="F19" i="29" s="1"/>
  <c r="T18" i="29"/>
  <c r="W18" i="29" s="1"/>
  <c r="M18" i="29"/>
  <c r="P18" i="29" s="1"/>
  <c r="K18" i="29"/>
  <c r="E18" i="29"/>
  <c r="D18" i="29"/>
  <c r="F18" i="29" s="1"/>
  <c r="T17" i="29"/>
  <c r="W17" i="29" s="1"/>
  <c r="M17" i="29"/>
  <c r="P17" i="29" s="1"/>
  <c r="K17" i="29"/>
  <c r="E17" i="29"/>
  <c r="D17" i="29"/>
  <c r="F17" i="29" s="1"/>
  <c r="T16" i="29"/>
  <c r="W16" i="29" s="1"/>
  <c r="M16" i="29"/>
  <c r="P16" i="29" s="1"/>
  <c r="K16" i="29"/>
  <c r="E16" i="29"/>
  <c r="D16" i="29"/>
  <c r="F16" i="29" s="1"/>
  <c r="T15" i="29"/>
  <c r="W15" i="29" s="1"/>
  <c r="M15" i="29"/>
  <c r="P15" i="29" s="1"/>
  <c r="K15" i="29"/>
  <c r="E15" i="29"/>
  <c r="D15" i="29"/>
  <c r="F15" i="29" s="1"/>
  <c r="T14" i="29"/>
  <c r="W14" i="29" s="1"/>
  <c r="M14" i="29"/>
  <c r="P14" i="29" s="1"/>
  <c r="K14" i="29"/>
  <c r="E14" i="29"/>
  <c r="D14" i="29"/>
  <c r="F14" i="29" s="1"/>
  <c r="T13" i="29"/>
  <c r="W13" i="29" s="1"/>
  <c r="M13" i="29"/>
  <c r="P13" i="29" s="1"/>
  <c r="K13" i="29"/>
  <c r="E13" i="29"/>
  <c r="D13" i="29"/>
  <c r="F13" i="29" s="1"/>
  <c r="T12" i="29"/>
  <c r="W12" i="29" s="1"/>
  <c r="M12" i="29"/>
  <c r="P12" i="29" s="1"/>
  <c r="K12" i="29"/>
  <c r="E12" i="29"/>
  <c r="D12" i="29"/>
  <c r="F12" i="29" s="1"/>
  <c r="T11" i="29"/>
  <c r="W11" i="29" s="1"/>
  <c r="M11" i="29"/>
  <c r="P11" i="29" s="1"/>
  <c r="K11" i="29"/>
  <c r="E11" i="29"/>
  <c r="D11" i="29"/>
  <c r="F11" i="29" s="1"/>
  <c r="T10" i="29"/>
  <c r="W10" i="29" s="1"/>
  <c r="M10" i="29"/>
  <c r="P10" i="29" s="1"/>
  <c r="K10" i="29"/>
  <c r="E10" i="29"/>
  <c r="D10" i="29"/>
  <c r="F10" i="29" s="1"/>
  <c r="W9" i="29"/>
  <c r="P9" i="29"/>
  <c r="T8" i="29"/>
  <c r="W8" i="29" s="1"/>
  <c r="M8" i="29"/>
  <c r="P8" i="29" s="1"/>
  <c r="K8" i="29"/>
  <c r="E8" i="29"/>
  <c r="D8" i="29"/>
  <c r="F8" i="29" s="1"/>
  <c r="T7" i="29"/>
  <c r="W7" i="29" s="1"/>
  <c r="M7" i="29"/>
  <c r="P7" i="29" s="1"/>
  <c r="K7" i="29"/>
  <c r="E7" i="29"/>
  <c r="D7" i="29"/>
  <c r="F7" i="29" s="1"/>
  <c r="T6" i="29"/>
  <c r="W6" i="29" s="1"/>
  <c r="M6" i="29"/>
  <c r="P6" i="29" s="1"/>
  <c r="K6" i="29"/>
  <c r="E6" i="29"/>
  <c r="D6" i="29"/>
  <c r="F6" i="29" s="1"/>
  <c r="P22" i="29" l="1"/>
  <c r="F22" i="29"/>
  <c r="E18" i="23"/>
  <c r="T6" i="2" l="1"/>
  <c r="W6" i="2" s="1"/>
  <c r="M6" i="2"/>
  <c r="P6" i="2" s="1"/>
  <c r="K6" i="2"/>
  <c r="E6" i="2"/>
  <c r="D6" i="2"/>
  <c r="F6" i="2" s="1"/>
  <c r="T22" i="55" l="1"/>
  <c r="W22" i="55" s="1"/>
  <c r="O22" i="55"/>
  <c r="E22" i="55" s="1"/>
  <c r="L22" i="55"/>
  <c r="M22" i="55" s="1"/>
  <c r="K22" i="55"/>
  <c r="D22" i="55"/>
  <c r="T21" i="55"/>
  <c r="W21" i="55" s="1"/>
  <c r="M21" i="55"/>
  <c r="P21" i="55" s="1"/>
  <c r="K21" i="55"/>
  <c r="E21" i="55"/>
  <c r="D21" i="55"/>
  <c r="F21" i="55" s="1"/>
  <c r="T20" i="55"/>
  <c r="W20" i="55" s="1"/>
  <c r="M20" i="55"/>
  <c r="P20" i="55" s="1"/>
  <c r="K20" i="55"/>
  <c r="E20" i="55"/>
  <c r="D20" i="55"/>
  <c r="F20" i="55" s="1"/>
  <c r="T19" i="55"/>
  <c r="W19" i="55" s="1"/>
  <c r="M19" i="55"/>
  <c r="P19" i="55" s="1"/>
  <c r="K19" i="55"/>
  <c r="E19" i="55"/>
  <c r="D19" i="55"/>
  <c r="F19" i="55" s="1"/>
  <c r="T18" i="55"/>
  <c r="W18" i="55" s="1"/>
  <c r="M18" i="55"/>
  <c r="P18" i="55" s="1"/>
  <c r="K18" i="55"/>
  <c r="E18" i="55"/>
  <c r="D18" i="55"/>
  <c r="F18" i="55" s="1"/>
  <c r="T17" i="55"/>
  <c r="W17" i="55" s="1"/>
  <c r="M17" i="55"/>
  <c r="P17" i="55" s="1"/>
  <c r="K17" i="55"/>
  <c r="E17" i="55"/>
  <c r="D17" i="55"/>
  <c r="F17" i="55" s="1"/>
  <c r="T16" i="55"/>
  <c r="W16" i="55" s="1"/>
  <c r="M16" i="55"/>
  <c r="P16" i="55" s="1"/>
  <c r="K16" i="55"/>
  <c r="E16" i="55"/>
  <c r="D16" i="55"/>
  <c r="F16" i="55" s="1"/>
  <c r="T15" i="55"/>
  <c r="W15" i="55" s="1"/>
  <c r="M15" i="55"/>
  <c r="P15" i="55" s="1"/>
  <c r="K15" i="55"/>
  <c r="E15" i="55"/>
  <c r="D15" i="55"/>
  <c r="F15" i="55" s="1"/>
  <c r="T14" i="55"/>
  <c r="W14" i="55" s="1"/>
  <c r="M14" i="55"/>
  <c r="P14" i="55" s="1"/>
  <c r="K14" i="55"/>
  <c r="E14" i="55"/>
  <c r="D14" i="55"/>
  <c r="F14" i="55" s="1"/>
  <c r="T13" i="55"/>
  <c r="W13" i="55" s="1"/>
  <c r="M13" i="55"/>
  <c r="P13" i="55" s="1"/>
  <c r="K13" i="55"/>
  <c r="E13" i="55"/>
  <c r="D13" i="55"/>
  <c r="F13" i="55" s="1"/>
  <c r="T12" i="55"/>
  <c r="W12" i="55" s="1"/>
  <c r="M12" i="55"/>
  <c r="P12" i="55" s="1"/>
  <c r="K12" i="55"/>
  <c r="E12" i="55"/>
  <c r="D12" i="55"/>
  <c r="F12" i="55" s="1"/>
  <c r="T11" i="55"/>
  <c r="W11" i="55" s="1"/>
  <c r="M11" i="55"/>
  <c r="P11" i="55" s="1"/>
  <c r="K11" i="55"/>
  <c r="E11" i="55"/>
  <c r="D11" i="55"/>
  <c r="F11" i="55" s="1"/>
  <c r="T10" i="55"/>
  <c r="W10" i="55" s="1"/>
  <c r="M10" i="55"/>
  <c r="P10" i="55" s="1"/>
  <c r="K10" i="55"/>
  <c r="E10" i="55"/>
  <c r="D10" i="55"/>
  <c r="F10" i="55" s="1"/>
  <c r="W9" i="55"/>
  <c r="P9" i="55"/>
  <c r="T8" i="55"/>
  <c r="W8" i="55" s="1"/>
  <c r="M8" i="55"/>
  <c r="P8" i="55" s="1"/>
  <c r="K8" i="55"/>
  <c r="E8" i="55"/>
  <c r="D8" i="55"/>
  <c r="F8" i="55" s="1"/>
  <c r="T7" i="55"/>
  <c r="W7" i="55" s="1"/>
  <c r="M7" i="55"/>
  <c r="P7" i="55" s="1"/>
  <c r="K7" i="55"/>
  <c r="E7" i="55"/>
  <c r="D7" i="55"/>
  <c r="F7" i="55" s="1"/>
  <c r="T6" i="55"/>
  <c r="W6" i="55" s="1"/>
  <c r="M6" i="55"/>
  <c r="P6" i="55" s="1"/>
  <c r="K6" i="55"/>
  <c r="E6" i="55"/>
  <c r="D6" i="55"/>
  <c r="F6" i="55" s="1"/>
  <c r="P22" i="55" l="1"/>
  <c r="F22" i="55"/>
  <c r="T7" i="67"/>
  <c r="W7" i="67" s="1"/>
  <c r="L7" i="67"/>
  <c r="M7" i="67" s="1"/>
  <c r="P7" i="67" s="1"/>
  <c r="K7" i="67"/>
  <c r="E7" i="67"/>
  <c r="D7" i="67"/>
  <c r="F7" i="67" s="1"/>
  <c r="T6" i="67"/>
  <c r="W6" i="67" s="1"/>
  <c r="M6" i="67"/>
  <c r="P6" i="67" s="1"/>
  <c r="K6" i="67"/>
  <c r="E6" i="67"/>
  <c r="D6" i="67"/>
  <c r="F6" i="67" s="1"/>
  <c r="T22" i="51" l="1"/>
  <c r="W22" i="51" s="1"/>
  <c r="O22" i="51"/>
  <c r="E22" i="51" s="1"/>
  <c r="L22" i="51"/>
  <c r="M22" i="51" s="1"/>
  <c r="K22" i="51"/>
  <c r="D22" i="51"/>
  <c r="T21" i="51"/>
  <c r="W21" i="51" s="1"/>
  <c r="M21" i="51"/>
  <c r="P21" i="51" s="1"/>
  <c r="K21" i="51"/>
  <c r="E21" i="51"/>
  <c r="D21" i="51"/>
  <c r="F21" i="51" s="1"/>
  <c r="T20" i="51"/>
  <c r="W20" i="51" s="1"/>
  <c r="M20" i="51"/>
  <c r="P20" i="51" s="1"/>
  <c r="K20" i="51"/>
  <c r="E20" i="51"/>
  <c r="D20" i="51"/>
  <c r="F20" i="51" s="1"/>
  <c r="T19" i="51"/>
  <c r="W19" i="51" s="1"/>
  <c r="M19" i="51"/>
  <c r="P19" i="51" s="1"/>
  <c r="K19" i="51"/>
  <c r="E19" i="51"/>
  <c r="D19" i="51"/>
  <c r="F19" i="51" s="1"/>
  <c r="T18" i="51"/>
  <c r="W18" i="51" s="1"/>
  <c r="M18" i="51"/>
  <c r="P18" i="51" s="1"/>
  <c r="K18" i="51"/>
  <c r="E18" i="51"/>
  <c r="D18" i="51"/>
  <c r="F18" i="51" s="1"/>
  <c r="T17" i="51"/>
  <c r="W17" i="51" s="1"/>
  <c r="M17" i="51"/>
  <c r="P17" i="51" s="1"/>
  <c r="K17" i="51"/>
  <c r="E17" i="51"/>
  <c r="D17" i="51"/>
  <c r="F17" i="51" s="1"/>
  <c r="T16" i="51"/>
  <c r="W16" i="51" s="1"/>
  <c r="M16" i="51"/>
  <c r="P16" i="51" s="1"/>
  <c r="K16" i="51"/>
  <c r="E16" i="51"/>
  <c r="D16" i="51"/>
  <c r="F16" i="51" s="1"/>
  <c r="T15" i="51"/>
  <c r="W15" i="51" s="1"/>
  <c r="M15" i="51"/>
  <c r="P15" i="51" s="1"/>
  <c r="K15" i="51"/>
  <c r="E15" i="51"/>
  <c r="D15" i="51"/>
  <c r="F15" i="51" s="1"/>
  <c r="T14" i="51"/>
  <c r="W14" i="51" s="1"/>
  <c r="M14" i="51"/>
  <c r="P14" i="51" s="1"/>
  <c r="K14" i="51"/>
  <c r="E14" i="51"/>
  <c r="D14" i="51"/>
  <c r="F14" i="51" s="1"/>
  <c r="T13" i="51"/>
  <c r="W13" i="51" s="1"/>
  <c r="M13" i="51"/>
  <c r="P13" i="51" s="1"/>
  <c r="K13" i="51"/>
  <c r="E13" i="51"/>
  <c r="D13" i="51"/>
  <c r="F13" i="51" s="1"/>
  <c r="T12" i="51"/>
  <c r="W12" i="51" s="1"/>
  <c r="M12" i="51"/>
  <c r="P12" i="51" s="1"/>
  <c r="K12" i="51"/>
  <c r="E12" i="51"/>
  <c r="D12" i="51"/>
  <c r="F12" i="51" s="1"/>
  <c r="T11" i="51"/>
  <c r="W11" i="51" s="1"/>
  <c r="M11" i="51"/>
  <c r="P11" i="51" s="1"/>
  <c r="K11" i="51"/>
  <c r="E11" i="51"/>
  <c r="D11" i="51"/>
  <c r="F11" i="51" s="1"/>
  <c r="T10" i="51"/>
  <c r="W10" i="51" s="1"/>
  <c r="M10" i="51"/>
  <c r="P10" i="51" s="1"/>
  <c r="K10" i="51"/>
  <c r="E10" i="51"/>
  <c r="D10" i="51"/>
  <c r="F10" i="51" s="1"/>
  <c r="W9" i="51"/>
  <c r="P9" i="51"/>
  <c r="T8" i="51"/>
  <c r="W8" i="51" s="1"/>
  <c r="M8" i="51"/>
  <c r="P8" i="51" s="1"/>
  <c r="K8" i="51"/>
  <c r="E8" i="51"/>
  <c r="D8" i="51"/>
  <c r="F8" i="51" s="1"/>
  <c r="T7" i="51"/>
  <c r="W7" i="51" s="1"/>
  <c r="M7" i="51"/>
  <c r="P7" i="51" s="1"/>
  <c r="K7" i="51"/>
  <c r="E7" i="51"/>
  <c r="D7" i="51"/>
  <c r="F7" i="51" s="1"/>
  <c r="T6" i="51"/>
  <c r="W6" i="51" s="1"/>
  <c r="M6" i="51"/>
  <c r="P6" i="51" s="1"/>
  <c r="K6" i="51"/>
  <c r="E6" i="51"/>
  <c r="D6" i="51"/>
  <c r="F6" i="51" s="1"/>
  <c r="P22" i="51" l="1"/>
  <c r="F22" i="51"/>
  <c r="T22" i="48"/>
  <c r="W22" i="48" s="1"/>
  <c r="O22" i="48"/>
  <c r="E22" i="48" s="1"/>
  <c r="L22" i="48"/>
  <c r="M22" i="48" s="1"/>
  <c r="K22" i="48"/>
  <c r="D22" i="48"/>
  <c r="T21" i="48"/>
  <c r="W21" i="48" s="1"/>
  <c r="P21" i="48"/>
  <c r="K21" i="48"/>
  <c r="E21" i="48"/>
  <c r="D21" i="48"/>
  <c r="F21" i="48" s="1"/>
  <c r="T20" i="48"/>
  <c r="W20" i="48" s="1"/>
  <c r="M20" i="48"/>
  <c r="P20" i="48" s="1"/>
  <c r="K20" i="48"/>
  <c r="E20" i="48"/>
  <c r="D20" i="48"/>
  <c r="F20" i="48" s="1"/>
  <c r="T19" i="48"/>
  <c r="W19" i="48" s="1"/>
  <c r="M19" i="48"/>
  <c r="P19" i="48" s="1"/>
  <c r="K19" i="48"/>
  <c r="E19" i="48"/>
  <c r="D19" i="48"/>
  <c r="F19" i="48" s="1"/>
  <c r="T18" i="48"/>
  <c r="W18" i="48" s="1"/>
  <c r="M18" i="48"/>
  <c r="P18" i="48" s="1"/>
  <c r="K18" i="48"/>
  <c r="E18" i="48"/>
  <c r="D18" i="48"/>
  <c r="F18" i="48" s="1"/>
  <c r="T17" i="48"/>
  <c r="W17" i="48" s="1"/>
  <c r="M17" i="48"/>
  <c r="P17" i="48" s="1"/>
  <c r="K17" i="48"/>
  <c r="E17" i="48"/>
  <c r="D17" i="48"/>
  <c r="F17" i="48" s="1"/>
  <c r="V16" i="48"/>
  <c r="S16" i="48"/>
  <c r="M16" i="48"/>
  <c r="P16" i="48" s="1"/>
  <c r="K16" i="48"/>
  <c r="E16" i="48"/>
  <c r="D16" i="48"/>
  <c r="F16" i="48" s="1"/>
  <c r="V15" i="48"/>
  <c r="T15" i="48" s="1"/>
  <c r="S15" i="48"/>
  <c r="M15" i="48"/>
  <c r="P15" i="48" s="1"/>
  <c r="K15" i="48"/>
  <c r="E15" i="48"/>
  <c r="D15" i="48"/>
  <c r="F15" i="48" s="1"/>
  <c r="V14" i="48"/>
  <c r="T14" i="48" s="1"/>
  <c r="S14" i="48"/>
  <c r="M14" i="48"/>
  <c r="P14" i="48" s="1"/>
  <c r="K14" i="48"/>
  <c r="E14" i="48"/>
  <c r="D14" i="48"/>
  <c r="F14" i="48" s="1"/>
  <c r="V13" i="48"/>
  <c r="T13" i="48" s="1"/>
  <c r="W13" i="48" s="1"/>
  <c r="S13" i="48"/>
  <c r="M13" i="48"/>
  <c r="P13" i="48" s="1"/>
  <c r="K13" i="48"/>
  <c r="E13" i="48"/>
  <c r="D13" i="48"/>
  <c r="F13" i="48" s="1"/>
  <c r="V12" i="48"/>
  <c r="T12" i="48" s="1"/>
  <c r="S12" i="48"/>
  <c r="M12" i="48"/>
  <c r="P12" i="48" s="1"/>
  <c r="K12" i="48"/>
  <c r="E12" i="48"/>
  <c r="D12" i="48"/>
  <c r="F12" i="48" s="1"/>
  <c r="V11" i="48"/>
  <c r="T11" i="48" s="1"/>
  <c r="W11" i="48" s="1"/>
  <c r="S11" i="48"/>
  <c r="M11" i="48"/>
  <c r="P11" i="48" s="1"/>
  <c r="K11" i="48"/>
  <c r="E11" i="48"/>
  <c r="D11" i="48"/>
  <c r="F11" i="48" s="1"/>
  <c r="V10" i="48"/>
  <c r="T10" i="48" s="1"/>
  <c r="S10" i="48"/>
  <c r="M10" i="48"/>
  <c r="P10" i="48" s="1"/>
  <c r="K10" i="48"/>
  <c r="E10" i="48"/>
  <c r="D10" i="48"/>
  <c r="F10" i="48" s="1"/>
  <c r="V9" i="48"/>
  <c r="W9" i="48" s="1"/>
  <c r="S9" i="48"/>
  <c r="P9" i="48"/>
  <c r="V8" i="48"/>
  <c r="T8" i="48" s="1"/>
  <c r="S8" i="48"/>
  <c r="M8" i="48"/>
  <c r="P8" i="48" s="1"/>
  <c r="K8" i="48"/>
  <c r="E8" i="48"/>
  <c r="D8" i="48"/>
  <c r="F8" i="48" s="1"/>
  <c r="V7" i="48"/>
  <c r="S7" i="48"/>
  <c r="M7" i="48"/>
  <c r="P7" i="48" s="1"/>
  <c r="K7" i="48"/>
  <c r="E7" i="48"/>
  <c r="D7" i="48"/>
  <c r="F7" i="48" s="1"/>
  <c r="T6" i="48"/>
  <c r="W6" i="48" s="1"/>
  <c r="S6" i="48"/>
  <c r="M6" i="48"/>
  <c r="P6" i="48" s="1"/>
  <c r="K6" i="48"/>
  <c r="E6" i="48"/>
  <c r="D6" i="48"/>
  <c r="F6" i="48" s="1"/>
  <c r="P22" i="48" l="1"/>
  <c r="W8" i="48"/>
  <c r="W10" i="48"/>
  <c r="W15" i="48"/>
  <c r="W12" i="48"/>
  <c r="T7" i="48"/>
  <c r="W7" i="48" s="1"/>
  <c r="W14" i="48"/>
  <c r="T16" i="48"/>
  <c r="W16" i="48" s="1"/>
  <c r="F22" i="48"/>
  <c r="T22" i="45" l="1"/>
  <c r="W22" i="45" s="1"/>
  <c r="O22" i="45"/>
  <c r="E22" i="45" s="1"/>
  <c r="M22" i="45"/>
  <c r="K22" i="45"/>
  <c r="D22" i="45"/>
  <c r="T21" i="45"/>
  <c r="W21" i="45" s="1"/>
  <c r="M21" i="45"/>
  <c r="P21" i="45" s="1"/>
  <c r="K21" i="45"/>
  <c r="E21" i="45"/>
  <c r="D21" i="45"/>
  <c r="F21" i="45" s="1"/>
  <c r="T20" i="45"/>
  <c r="W20" i="45" s="1"/>
  <c r="M20" i="45"/>
  <c r="P20" i="45" s="1"/>
  <c r="K20" i="45"/>
  <c r="E20" i="45"/>
  <c r="D20" i="45"/>
  <c r="F20" i="45" s="1"/>
  <c r="T19" i="45"/>
  <c r="W19" i="45" s="1"/>
  <c r="M19" i="45"/>
  <c r="P19" i="45" s="1"/>
  <c r="K19" i="45"/>
  <c r="E19" i="45"/>
  <c r="D19" i="45"/>
  <c r="F19" i="45" s="1"/>
  <c r="T18" i="45"/>
  <c r="W18" i="45" s="1"/>
  <c r="M18" i="45"/>
  <c r="P18" i="45" s="1"/>
  <c r="K18" i="45"/>
  <c r="E18" i="45"/>
  <c r="D18" i="45"/>
  <c r="F18" i="45" s="1"/>
  <c r="T17" i="45"/>
  <c r="W17" i="45" s="1"/>
  <c r="M17" i="45"/>
  <c r="P17" i="45" s="1"/>
  <c r="K17" i="45"/>
  <c r="E17" i="45"/>
  <c r="D17" i="45"/>
  <c r="F17" i="45" s="1"/>
  <c r="T16" i="45"/>
  <c r="W16" i="45" s="1"/>
  <c r="M16" i="45"/>
  <c r="P16" i="45" s="1"/>
  <c r="K16" i="45"/>
  <c r="E16" i="45"/>
  <c r="D16" i="45"/>
  <c r="F16" i="45" s="1"/>
  <c r="T15" i="45"/>
  <c r="W15" i="45" s="1"/>
  <c r="M15" i="45"/>
  <c r="P15" i="45" s="1"/>
  <c r="K15" i="45"/>
  <c r="E15" i="45"/>
  <c r="D15" i="45"/>
  <c r="F15" i="45" s="1"/>
  <c r="T14" i="45"/>
  <c r="W14" i="45" s="1"/>
  <c r="M14" i="45"/>
  <c r="P14" i="45" s="1"/>
  <c r="K14" i="45"/>
  <c r="E14" i="45"/>
  <c r="D14" i="45"/>
  <c r="F14" i="45" s="1"/>
  <c r="T13" i="45"/>
  <c r="W13" i="45" s="1"/>
  <c r="M13" i="45"/>
  <c r="P13" i="45" s="1"/>
  <c r="K13" i="45"/>
  <c r="E13" i="45"/>
  <c r="D13" i="45"/>
  <c r="F13" i="45" s="1"/>
  <c r="T12" i="45"/>
  <c r="W12" i="45" s="1"/>
  <c r="M12" i="45"/>
  <c r="P12" i="45" s="1"/>
  <c r="K12" i="45"/>
  <c r="E12" i="45"/>
  <c r="D12" i="45"/>
  <c r="F12" i="45" s="1"/>
  <c r="T11" i="45"/>
  <c r="W11" i="45" s="1"/>
  <c r="M11" i="45"/>
  <c r="P11" i="45" s="1"/>
  <c r="K11" i="45"/>
  <c r="E11" i="45"/>
  <c r="D11" i="45"/>
  <c r="F11" i="45" s="1"/>
  <c r="T10" i="45"/>
  <c r="W10" i="45" s="1"/>
  <c r="M10" i="45"/>
  <c r="P10" i="45" s="1"/>
  <c r="K10" i="45"/>
  <c r="E10" i="45"/>
  <c r="D10" i="45"/>
  <c r="F10" i="45" s="1"/>
  <c r="W9" i="45"/>
  <c r="P9" i="45"/>
  <c r="T8" i="45"/>
  <c r="W8" i="45" s="1"/>
  <c r="M8" i="45"/>
  <c r="P8" i="45" s="1"/>
  <c r="K8" i="45"/>
  <c r="E8" i="45"/>
  <c r="D8" i="45"/>
  <c r="F8" i="45" s="1"/>
  <c r="T7" i="45"/>
  <c r="W7" i="45" s="1"/>
  <c r="M7" i="45"/>
  <c r="P7" i="45" s="1"/>
  <c r="K7" i="45"/>
  <c r="E7" i="45"/>
  <c r="D7" i="45"/>
  <c r="F7" i="45" s="1"/>
  <c r="T6" i="45"/>
  <c r="W6" i="45" s="1"/>
  <c r="M6" i="45"/>
  <c r="P6" i="45" s="1"/>
  <c r="K6" i="45"/>
  <c r="E6" i="45"/>
  <c r="D6" i="45"/>
  <c r="F6" i="45" s="1"/>
  <c r="F22" i="45" l="1"/>
  <c r="P22" i="45"/>
  <c r="T22" i="38"/>
  <c r="W22" i="38" s="1"/>
  <c r="O22" i="38"/>
  <c r="E22" i="38" s="1"/>
  <c r="L22" i="38"/>
  <c r="M22" i="38" s="1"/>
  <c r="K22" i="38"/>
  <c r="C22" i="38"/>
  <c r="D22" i="38" s="1"/>
  <c r="T21" i="38"/>
  <c r="W21" i="38" s="1"/>
  <c r="O21" i="38"/>
  <c r="M21" i="38"/>
  <c r="K21" i="38"/>
  <c r="C21" i="38"/>
  <c r="D21" i="38" s="1"/>
  <c r="T20" i="38"/>
  <c r="W20" i="38" s="1"/>
  <c r="M20" i="38"/>
  <c r="P20" i="38" s="1"/>
  <c r="K20" i="38"/>
  <c r="E20" i="38"/>
  <c r="D20" i="38"/>
  <c r="F20" i="38" s="1"/>
  <c r="T19" i="38"/>
  <c r="W19" i="38" s="1"/>
  <c r="M19" i="38"/>
  <c r="P19" i="38" s="1"/>
  <c r="K19" i="38"/>
  <c r="E19" i="38"/>
  <c r="D19" i="38"/>
  <c r="F19" i="38" s="1"/>
  <c r="T18" i="38"/>
  <c r="W18" i="38" s="1"/>
  <c r="M18" i="38"/>
  <c r="P18" i="38" s="1"/>
  <c r="K18" i="38"/>
  <c r="E18" i="38"/>
  <c r="D18" i="38"/>
  <c r="F18" i="38" s="1"/>
  <c r="T17" i="38"/>
  <c r="W17" i="38" s="1"/>
  <c r="M17" i="38"/>
  <c r="P17" i="38" s="1"/>
  <c r="K17" i="38"/>
  <c r="E17" i="38"/>
  <c r="D17" i="38"/>
  <c r="F17" i="38" s="1"/>
  <c r="T16" i="38"/>
  <c r="W16" i="38" s="1"/>
  <c r="M16" i="38"/>
  <c r="P16" i="38" s="1"/>
  <c r="K16" i="38"/>
  <c r="E16" i="38"/>
  <c r="D16" i="38"/>
  <c r="F16" i="38" s="1"/>
  <c r="T15" i="38"/>
  <c r="W15" i="38" s="1"/>
  <c r="M15" i="38"/>
  <c r="P15" i="38" s="1"/>
  <c r="K15" i="38"/>
  <c r="E15" i="38"/>
  <c r="D15" i="38"/>
  <c r="F15" i="38" s="1"/>
  <c r="T14" i="38"/>
  <c r="W14" i="38" s="1"/>
  <c r="M14" i="38"/>
  <c r="P14" i="38" s="1"/>
  <c r="K14" i="38"/>
  <c r="E14" i="38"/>
  <c r="D14" i="38"/>
  <c r="F14" i="38" s="1"/>
  <c r="T13" i="38"/>
  <c r="W13" i="38" s="1"/>
  <c r="M13" i="38"/>
  <c r="P13" i="38" s="1"/>
  <c r="K13" i="38"/>
  <c r="E13" i="38"/>
  <c r="D13" i="38"/>
  <c r="F13" i="38" s="1"/>
  <c r="T12" i="38"/>
  <c r="W12" i="38" s="1"/>
  <c r="M12" i="38"/>
  <c r="P12" i="38" s="1"/>
  <c r="K12" i="38"/>
  <c r="E12" i="38"/>
  <c r="D12" i="38"/>
  <c r="F12" i="38" s="1"/>
  <c r="T11" i="38"/>
  <c r="W11" i="38" s="1"/>
  <c r="M11" i="38"/>
  <c r="P11" i="38" s="1"/>
  <c r="K11" i="38"/>
  <c r="E11" i="38"/>
  <c r="D11" i="38"/>
  <c r="F11" i="38" s="1"/>
  <c r="W10" i="38"/>
  <c r="P10" i="38"/>
  <c r="W9" i="38"/>
  <c r="P9" i="38"/>
  <c r="T8" i="38"/>
  <c r="W8" i="38" s="1"/>
  <c r="M8" i="38"/>
  <c r="P8" i="38" s="1"/>
  <c r="K8" i="38"/>
  <c r="E8" i="38"/>
  <c r="D8" i="38"/>
  <c r="F8" i="38" s="1"/>
  <c r="T7" i="38"/>
  <c r="W7" i="38" s="1"/>
  <c r="M7" i="38"/>
  <c r="P7" i="38" s="1"/>
  <c r="K7" i="38"/>
  <c r="E7" i="38"/>
  <c r="D7" i="38"/>
  <c r="F7" i="38" s="1"/>
  <c r="U6" i="38"/>
  <c r="T6" i="38" s="1"/>
  <c r="W6" i="38" s="1"/>
  <c r="M6" i="38"/>
  <c r="P6" i="38" s="1"/>
  <c r="K6" i="38"/>
  <c r="E6" i="38"/>
  <c r="D6" i="38"/>
  <c r="F6" i="38" s="1"/>
  <c r="P21" i="38" l="1"/>
  <c r="F21" i="38"/>
  <c r="P22" i="38"/>
  <c r="F22" i="38"/>
  <c r="E21" i="38"/>
  <c r="T22" i="36" l="1"/>
  <c r="W22" i="36" s="1"/>
  <c r="M22" i="36"/>
  <c r="P22" i="36" s="1"/>
  <c r="K22" i="36"/>
  <c r="E22" i="36"/>
  <c r="C22" i="36"/>
  <c r="D22" i="36" s="1"/>
  <c r="F22" i="36" s="1"/>
  <c r="T21" i="36"/>
  <c r="W21" i="36" s="1"/>
  <c r="M21" i="36"/>
  <c r="P21" i="36" s="1"/>
  <c r="K21" i="36"/>
  <c r="E21" i="36"/>
  <c r="D21" i="36"/>
  <c r="F21" i="36" s="1"/>
  <c r="T20" i="36"/>
  <c r="W20" i="36" s="1"/>
  <c r="M20" i="36"/>
  <c r="P20" i="36" s="1"/>
  <c r="K20" i="36"/>
  <c r="E20" i="36"/>
  <c r="D20" i="36"/>
  <c r="F20" i="36" s="1"/>
  <c r="T19" i="36"/>
  <c r="W19" i="36" s="1"/>
  <c r="M19" i="36"/>
  <c r="P19" i="36" s="1"/>
  <c r="K19" i="36"/>
  <c r="E19" i="36"/>
  <c r="D19" i="36"/>
  <c r="F19" i="36" s="1"/>
  <c r="T18" i="36"/>
  <c r="W18" i="36" s="1"/>
  <c r="M18" i="36"/>
  <c r="P18" i="36" s="1"/>
  <c r="K18" i="36"/>
  <c r="E18" i="36"/>
  <c r="D18" i="36"/>
  <c r="F18" i="36" s="1"/>
  <c r="T17" i="36"/>
  <c r="W17" i="36" s="1"/>
  <c r="M17" i="36"/>
  <c r="P17" i="36" s="1"/>
  <c r="K17" i="36"/>
  <c r="E17" i="36"/>
  <c r="D17" i="36"/>
  <c r="F17" i="36" s="1"/>
  <c r="T16" i="36"/>
  <c r="W16" i="36" s="1"/>
  <c r="M16" i="36"/>
  <c r="P16" i="36" s="1"/>
  <c r="K16" i="36"/>
  <c r="E16" i="36"/>
  <c r="D16" i="36"/>
  <c r="F16" i="36" s="1"/>
  <c r="T15" i="36"/>
  <c r="W15" i="36" s="1"/>
  <c r="M15" i="36"/>
  <c r="P15" i="36" s="1"/>
  <c r="K15" i="36"/>
  <c r="E15" i="36"/>
  <c r="D15" i="36"/>
  <c r="F15" i="36" s="1"/>
  <c r="T14" i="36"/>
  <c r="W14" i="36" s="1"/>
  <c r="M14" i="36"/>
  <c r="P14" i="36" s="1"/>
  <c r="K14" i="36"/>
  <c r="E14" i="36"/>
  <c r="D14" i="36"/>
  <c r="F14" i="36" s="1"/>
  <c r="T13" i="36"/>
  <c r="W13" i="36" s="1"/>
  <c r="M13" i="36"/>
  <c r="P13" i="36" s="1"/>
  <c r="K13" i="36"/>
  <c r="E13" i="36"/>
  <c r="D13" i="36"/>
  <c r="F13" i="36" s="1"/>
  <c r="T12" i="36"/>
  <c r="W12" i="36" s="1"/>
  <c r="M12" i="36"/>
  <c r="P12" i="36" s="1"/>
  <c r="K12" i="36"/>
  <c r="E12" i="36"/>
  <c r="D12" i="36"/>
  <c r="F12" i="36" s="1"/>
  <c r="T11" i="36"/>
  <c r="W11" i="36" s="1"/>
  <c r="M11" i="36"/>
  <c r="P11" i="36" s="1"/>
  <c r="K11" i="36"/>
  <c r="E11" i="36"/>
  <c r="D11" i="36"/>
  <c r="F11" i="36" s="1"/>
  <c r="W10" i="36"/>
  <c r="P10" i="36"/>
  <c r="T9" i="36"/>
  <c r="W9" i="36" s="1"/>
  <c r="P9" i="36"/>
  <c r="T8" i="36"/>
  <c r="W8" i="36" s="1"/>
  <c r="M8" i="36"/>
  <c r="P8" i="36" s="1"/>
  <c r="K8" i="36"/>
  <c r="E8" i="36"/>
  <c r="D8" i="36"/>
  <c r="F8" i="36" s="1"/>
  <c r="T7" i="36"/>
  <c r="W7" i="36" s="1"/>
  <c r="M7" i="36"/>
  <c r="P7" i="36" s="1"/>
  <c r="K7" i="36"/>
  <c r="E7" i="36"/>
  <c r="D7" i="36"/>
  <c r="F7" i="36" s="1"/>
  <c r="T6" i="36"/>
  <c r="W6" i="36" s="1"/>
  <c r="M6" i="36"/>
  <c r="P6" i="36" s="1"/>
  <c r="K6" i="36"/>
  <c r="E6" i="36"/>
  <c r="D6" i="36"/>
  <c r="F6" i="36" s="1"/>
  <c r="T22" i="35" l="1"/>
  <c r="W22" i="35" s="1"/>
  <c r="O22" i="35"/>
  <c r="E22" i="35" s="1"/>
  <c r="L22" i="35"/>
  <c r="M22" i="35" s="1"/>
  <c r="K22" i="35"/>
  <c r="C22" i="35"/>
  <c r="D22" i="35" s="1"/>
  <c r="T21" i="35"/>
  <c r="W21" i="35" s="1"/>
  <c r="M21" i="35"/>
  <c r="P21" i="35" s="1"/>
  <c r="K21" i="35"/>
  <c r="E21" i="35"/>
  <c r="D21" i="35"/>
  <c r="F21" i="35" s="1"/>
  <c r="T20" i="35"/>
  <c r="W20" i="35" s="1"/>
  <c r="M20" i="35"/>
  <c r="P20" i="35" s="1"/>
  <c r="K20" i="35"/>
  <c r="E20" i="35"/>
  <c r="D20" i="35"/>
  <c r="F20" i="35" s="1"/>
  <c r="T19" i="35"/>
  <c r="W19" i="35" s="1"/>
  <c r="M19" i="35"/>
  <c r="P19" i="35" s="1"/>
  <c r="K19" i="35"/>
  <c r="E19" i="35"/>
  <c r="D19" i="35"/>
  <c r="F19" i="35" s="1"/>
  <c r="T18" i="35"/>
  <c r="W18" i="35" s="1"/>
  <c r="M18" i="35"/>
  <c r="P18" i="35" s="1"/>
  <c r="K18" i="35"/>
  <c r="E18" i="35"/>
  <c r="D18" i="35"/>
  <c r="F18" i="35" s="1"/>
  <c r="T17" i="35"/>
  <c r="W17" i="35" s="1"/>
  <c r="M17" i="35"/>
  <c r="P17" i="35" s="1"/>
  <c r="K17" i="35"/>
  <c r="E17" i="35"/>
  <c r="D17" i="35"/>
  <c r="F17" i="35" s="1"/>
  <c r="T16" i="35"/>
  <c r="W16" i="35" s="1"/>
  <c r="M16" i="35"/>
  <c r="P16" i="35" s="1"/>
  <c r="K16" i="35"/>
  <c r="E16" i="35"/>
  <c r="D16" i="35"/>
  <c r="F16" i="35" s="1"/>
  <c r="T15" i="35"/>
  <c r="W15" i="35" s="1"/>
  <c r="M15" i="35"/>
  <c r="P15" i="35" s="1"/>
  <c r="K15" i="35"/>
  <c r="E15" i="35"/>
  <c r="D15" i="35"/>
  <c r="F15" i="35" s="1"/>
  <c r="T14" i="35"/>
  <c r="W14" i="35" s="1"/>
  <c r="M14" i="35"/>
  <c r="P14" i="35" s="1"/>
  <c r="K14" i="35"/>
  <c r="E14" i="35"/>
  <c r="D14" i="35"/>
  <c r="F14" i="35" s="1"/>
  <c r="T13" i="35"/>
  <c r="W13" i="35" s="1"/>
  <c r="M13" i="35"/>
  <c r="P13" i="35" s="1"/>
  <c r="K13" i="35"/>
  <c r="E13" i="35"/>
  <c r="D13" i="35"/>
  <c r="F13" i="35" s="1"/>
  <c r="T12" i="35"/>
  <c r="W12" i="35" s="1"/>
  <c r="M12" i="35"/>
  <c r="P12" i="35" s="1"/>
  <c r="K12" i="35"/>
  <c r="E12" i="35"/>
  <c r="D12" i="35"/>
  <c r="F12" i="35" s="1"/>
  <c r="T11" i="35"/>
  <c r="W11" i="35" s="1"/>
  <c r="M11" i="35"/>
  <c r="P11" i="35" s="1"/>
  <c r="K11" i="35"/>
  <c r="E11" i="35"/>
  <c r="D11" i="35"/>
  <c r="F11" i="35" s="1"/>
  <c r="W10" i="35"/>
  <c r="P10" i="35"/>
  <c r="E10" i="35"/>
  <c r="W9" i="35"/>
  <c r="P9" i="35"/>
  <c r="E9" i="35"/>
  <c r="T8" i="35"/>
  <c r="W8" i="35" s="1"/>
  <c r="M8" i="35"/>
  <c r="P8" i="35" s="1"/>
  <c r="K8" i="35"/>
  <c r="E8" i="35"/>
  <c r="D8" i="35"/>
  <c r="F8" i="35" s="1"/>
  <c r="T7" i="35"/>
  <c r="W7" i="35" s="1"/>
  <c r="L7" i="35"/>
  <c r="M7" i="35" s="1"/>
  <c r="P7" i="35" s="1"/>
  <c r="K7" i="35"/>
  <c r="E7" i="35"/>
  <c r="D7" i="35"/>
  <c r="F7" i="35" s="1"/>
  <c r="T6" i="35"/>
  <c r="W6" i="35" s="1"/>
  <c r="M6" i="35"/>
  <c r="P6" i="35" s="1"/>
  <c r="K6" i="35"/>
  <c r="E6" i="35"/>
  <c r="D6" i="35"/>
  <c r="F6" i="35" s="1"/>
  <c r="P22" i="35" l="1"/>
  <c r="F22" i="35"/>
  <c r="T17" i="34"/>
  <c r="W17" i="34" s="1"/>
  <c r="M17" i="34"/>
  <c r="K17" i="34"/>
  <c r="E17" i="34"/>
  <c r="D17" i="34"/>
  <c r="F17" i="34" s="1"/>
  <c r="T16" i="34"/>
  <c r="W16" i="34" s="1"/>
  <c r="M16" i="34"/>
  <c r="K16" i="34"/>
  <c r="F16" i="34"/>
  <c r="E16" i="34"/>
  <c r="D16" i="34"/>
  <c r="T15" i="34"/>
  <c r="W15" i="34" s="1"/>
  <c r="M15" i="34"/>
  <c r="P15" i="34" s="1"/>
  <c r="K15" i="34"/>
  <c r="E15" i="34"/>
  <c r="D15" i="34"/>
  <c r="F15" i="34" s="1"/>
  <c r="T14" i="34"/>
  <c r="W14" i="34" s="1"/>
  <c r="M14" i="34"/>
  <c r="P14" i="34" s="1"/>
  <c r="K14" i="34"/>
  <c r="E14" i="34"/>
  <c r="D14" i="34"/>
  <c r="F14" i="34" s="1"/>
  <c r="T13" i="34"/>
  <c r="W13" i="34" s="1"/>
  <c r="M13" i="34"/>
  <c r="P13" i="34" s="1"/>
  <c r="K13" i="34"/>
  <c r="E13" i="34"/>
  <c r="D13" i="34"/>
  <c r="F13" i="34" s="1"/>
  <c r="T12" i="34"/>
  <c r="W12" i="34" s="1"/>
  <c r="M12" i="34"/>
  <c r="P12" i="34" s="1"/>
  <c r="K12" i="34"/>
  <c r="E12" i="34"/>
  <c r="D12" i="34"/>
  <c r="F12" i="34" s="1"/>
  <c r="W11" i="34"/>
  <c r="P11" i="34"/>
  <c r="T10" i="34"/>
  <c r="W10" i="34" s="1"/>
  <c r="M10" i="34"/>
  <c r="P10" i="34" s="1"/>
  <c r="K10" i="34"/>
  <c r="E10" i="34"/>
  <c r="D10" i="34"/>
  <c r="F10" i="34" s="1"/>
  <c r="W9" i="34"/>
  <c r="P9" i="34"/>
  <c r="T8" i="34"/>
  <c r="W8" i="34" s="1"/>
  <c r="M8" i="34"/>
  <c r="P8" i="34" s="1"/>
  <c r="K8" i="34"/>
  <c r="E8" i="34"/>
  <c r="D8" i="34"/>
  <c r="F8" i="34" s="1"/>
  <c r="T7" i="34"/>
  <c r="W7" i="34" s="1"/>
  <c r="M7" i="34"/>
  <c r="P7" i="34" s="1"/>
  <c r="K7" i="34"/>
  <c r="H7" i="34"/>
  <c r="E7" i="34"/>
  <c r="C7" i="34"/>
  <c r="D7" i="34" s="1"/>
  <c r="F7" i="34" s="1"/>
  <c r="U6" i="34"/>
  <c r="T6" i="34" s="1"/>
  <c r="W6" i="34" s="1"/>
  <c r="M6" i="34"/>
  <c r="P6" i="34" s="1"/>
  <c r="K6" i="34"/>
  <c r="E6" i="34"/>
  <c r="D6" i="34"/>
  <c r="F6" i="34" s="1"/>
  <c r="T22" i="33" l="1"/>
  <c r="W22" i="33" s="1"/>
  <c r="O22" i="33"/>
  <c r="E22" i="33" s="1"/>
  <c r="L22" i="33"/>
  <c r="M22" i="33" s="1"/>
  <c r="K22" i="33"/>
  <c r="D22" i="33"/>
  <c r="T21" i="33"/>
  <c r="W21" i="33" s="1"/>
  <c r="L21" i="33"/>
  <c r="M21" i="33" s="1"/>
  <c r="P21" i="33" s="1"/>
  <c r="K21" i="33"/>
  <c r="E21" i="33"/>
  <c r="D21" i="33"/>
  <c r="F21" i="33" s="1"/>
  <c r="T20" i="33"/>
  <c r="W20" i="33" s="1"/>
  <c r="M20" i="33"/>
  <c r="P20" i="33" s="1"/>
  <c r="K20" i="33"/>
  <c r="E20" i="33"/>
  <c r="D20" i="33"/>
  <c r="F20" i="33" s="1"/>
  <c r="T19" i="33"/>
  <c r="W19" i="33" s="1"/>
  <c r="M19" i="33"/>
  <c r="P19" i="33" s="1"/>
  <c r="K19" i="33"/>
  <c r="E19" i="33"/>
  <c r="D19" i="33"/>
  <c r="F19" i="33" s="1"/>
  <c r="T18" i="33"/>
  <c r="W18" i="33" s="1"/>
  <c r="M18" i="33"/>
  <c r="P18" i="33" s="1"/>
  <c r="K18" i="33"/>
  <c r="E18" i="33"/>
  <c r="D18" i="33"/>
  <c r="F18" i="33" s="1"/>
  <c r="T17" i="33"/>
  <c r="W17" i="33" s="1"/>
  <c r="M17" i="33"/>
  <c r="P17" i="33" s="1"/>
  <c r="K17" i="33"/>
  <c r="E17" i="33"/>
  <c r="D17" i="33"/>
  <c r="F17" i="33" s="1"/>
  <c r="T16" i="33"/>
  <c r="W16" i="33" s="1"/>
  <c r="M16" i="33"/>
  <c r="P16" i="33" s="1"/>
  <c r="K16" i="33"/>
  <c r="E16" i="33"/>
  <c r="D16" i="33"/>
  <c r="F16" i="33" s="1"/>
  <c r="T15" i="33"/>
  <c r="W15" i="33" s="1"/>
  <c r="M15" i="33"/>
  <c r="P15" i="33" s="1"/>
  <c r="K15" i="33"/>
  <c r="E15" i="33"/>
  <c r="D15" i="33"/>
  <c r="F15" i="33" s="1"/>
  <c r="T14" i="33"/>
  <c r="W14" i="33" s="1"/>
  <c r="M14" i="33"/>
  <c r="P14" i="33" s="1"/>
  <c r="K14" i="33"/>
  <c r="E14" i="33"/>
  <c r="D14" i="33"/>
  <c r="F14" i="33" s="1"/>
  <c r="T13" i="33"/>
  <c r="W13" i="33" s="1"/>
  <c r="M13" i="33"/>
  <c r="P13" i="33" s="1"/>
  <c r="K13" i="33"/>
  <c r="E13" i="33"/>
  <c r="D13" i="33"/>
  <c r="F13" i="33" s="1"/>
  <c r="T12" i="33"/>
  <c r="W12" i="33" s="1"/>
  <c r="M12" i="33"/>
  <c r="P12" i="33" s="1"/>
  <c r="K12" i="33"/>
  <c r="E12" i="33"/>
  <c r="D12" i="33"/>
  <c r="F12" i="33" s="1"/>
  <c r="T11" i="33"/>
  <c r="W11" i="33" s="1"/>
  <c r="M11" i="33"/>
  <c r="P11" i="33" s="1"/>
  <c r="K11" i="33"/>
  <c r="E11" i="33"/>
  <c r="D11" i="33"/>
  <c r="F11" i="33" s="1"/>
  <c r="T10" i="33"/>
  <c r="W10" i="33" s="1"/>
  <c r="M10" i="33"/>
  <c r="P10" i="33" s="1"/>
  <c r="K10" i="33"/>
  <c r="E10" i="33"/>
  <c r="D10" i="33"/>
  <c r="F10" i="33" s="1"/>
  <c r="W9" i="33"/>
  <c r="P9" i="33"/>
  <c r="T8" i="33"/>
  <c r="W8" i="33" s="1"/>
  <c r="M8" i="33"/>
  <c r="P8" i="33" s="1"/>
  <c r="K8" i="33"/>
  <c r="E8" i="33"/>
  <c r="D8" i="33"/>
  <c r="F8" i="33" s="1"/>
  <c r="T7" i="33"/>
  <c r="W7" i="33" s="1"/>
  <c r="M7" i="33"/>
  <c r="P7" i="33" s="1"/>
  <c r="K7" i="33"/>
  <c r="E7" i="33"/>
  <c r="D7" i="33"/>
  <c r="F7" i="33" s="1"/>
  <c r="T6" i="33"/>
  <c r="W6" i="33" s="1"/>
  <c r="M6" i="33"/>
  <c r="P6" i="33" s="1"/>
  <c r="K6" i="33"/>
  <c r="E6" i="33"/>
  <c r="D6" i="33"/>
  <c r="F6" i="33" s="1"/>
  <c r="P22" i="33" l="1"/>
  <c r="F22" i="33"/>
  <c r="T22" i="30"/>
  <c r="W22" i="30" s="1"/>
  <c r="O22" i="30"/>
  <c r="E22" i="30" s="1"/>
  <c r="L22" i="30"/>
  <c r="M22" i="30" s="1"/>
  <c r="K22" i="30"/>
  <c r="D22" i="30"/>
  <c r="W21" i="30"/>
  <c r="M21" i="30"/>
  <c r="P21" i="30" s="1"/>
  <c r="K21" i="30"/>
  <c r="E21" i="30"/>
  <c r="D21" i="30"/>
  <c r="F21" i="30" s="1"/>
  <c r="T20" i="30"/>
  <c r="W20" i="30" s="1"/>
  <c r="M20" i="30"/>
  <c r="P20" i="30" s="1"/>
  <c r="K20" i="30"/>
  <c r="E20" i="30"/>
  <c r="D20" i="30"/>
  <c r="F20" i="30" s="1"/>
  <c r="T19" i="30"/>
  <c r="W19" i="30" s="1"/>
  <c r="M19" i="30"/>
  <c r="P19" i="30" s="1"/>
  <c r="K19" i="30"/>
  <c r="E19" i="30"/>
  <c r="D19" i="30"/>
  <c r="F19" i="30" s="1"/>
  <c r="T18" i="30"/>
  <c r="W18" i="30" s="1"/>
  <c r="M18" i="30"/>
  <c r="P18" i="30" s="1"/>
  <c r="K18" i="30"/>
  <c r="E18" i="30"/>
  <c r="D18" i="30"/>
  <c r="F18" i="30" s="1"/>
  <c r="T17" i="30"/>
  <c r="W17" i="30" s="1"/>
  <c r="M17" i="30"/>
  <c r="P17" i="30" s="1"/>
  <c r="K17" i="30"/>
  <c r="E17" i="30"/>
  <c r="D17" i="30"/>
  <c r="F17" i="30" s="1"/>
  <c r="T16" i="30"/>
  <c r="W16" i="30" s="1"/>
  <c r="M16" i="30"/>
  <c r="P16" i="30" s="1"/>
  <c r="K16" i="30"/>
  <c r="E16" i="30"/>
  <c r="D16" i="30"/>
  <c r="F16" i="30" s="1"/>
  <c r="T15" i="30"/>
  <c r="W15" i="30" s="1"/>
  <c r="M15" i="30"/>
  <c r="P15" i="30" s="1"/>
  <c r="K15" i="30"/>
  <c r="E15" i="30"/>
  <c r="D15" i="30"/>
  <c r="F15" i="30" s="1"/>
  <c r="T14" i="30"/>
  <c r="W14" i="30" s="1"/>
  <c r="M14" i="30"/>
  <c r="P14" i="30" s="1"/>
  <c r="K14" i="30"/>
  <c r="E14" i="30"/>
  <c r="D14" i="30"/>
  <c r="F14" i="30" s="1"/>
  <c r="T13" i="30"/>
  <c r="W13" i="30" s="1"/>
  <c r="M13" i="30"/>
  <c r="P13" i="30" s="1"/>
  <c r="K13" i="30"/>
  <c r="E13" i="30"/>
  <c r="D13" i="30"/>
  <c r="F13" i="30" s="1"/>
  <c r="T12" i="30"/>
  <c r="W12" i="30" s="1"/>
  <c r="M12" i="30"/>
  <c r="P12" i="30" s="1"/>
  <c r="K12" i="30"/>
  <c r="E12" i="30"/>
  <c r="D12" i="30"/>
  <c r="F12" i="30" s="1"/>
  <c r="T11" i="30"/>
  <c r="W11" i="30" s="1"/>
  <c r="M11" i="30"/>
  <c r="P11" i="30" s="1"/>
  <c r="K11" i="30"/>
  <c r="E11" i="30"/>
  <c r="D11" i="30"/>
  <c r="F11" i="30" s="1"/>
  <c r="T10" i="30"/>
  <c r="W10" i="30" s="1"/>
  <c r="M10" i="30"/>
  <c r="P10" i="30" s="1"/>
  <c r="K10" i="30"/>
  <c r="E10" i="30"/>
  <c r="D10" i="30"/>
  <c r="F10" i="30" s="1"/>
  <c r="W9" i="30"/>
  <c r="P9" i="30"/>
  <c r="T8" i="30"/>
  <c r="W8" i="30" s="1"/>
  <c r="M8" i="30"/>
  <c r="P8" i="30" s="1"/>
  <c r="K8" i="30"/>
  <c r="E8" i="30"/>
  <c r="D8" i="30"/>
  <c r="F8" i="30" s="1"/>
  <c r="T7" i="30"/>
  <c r="W7" i="30" s="1"/>
  <c r="M7" i="30"/>
  <c r="P7" i="30" s="1"/>
  <c r="K7" i="30"/>
  <c r="E7" i="30"/>
  <c r="D7" i="30"/>
  <c r="F7" i="30" s="1"/>
  <c r="T6" i="30"/>
  <c r="W6" i="30" s="1"/>
  <c r="M6" i="30"/>
  <c r="P6" i="30" s="1"/>
  <c r="K6" i="30"/>
  <c r="E6" i="30"/>
  <c r="D6" i="30"/>
  <c r="F6" i="30" s="1"/>
  <c r="P22" i="30" l="1"/>
  <c r="F22" i="30"/>
  <c r="T23" i="27" l="1"/>
  <c r="W23" i="27" s="1"/>
  <c r="O23" i="27"/>
  <c r="E23" i="27" s="1"/>
  <c r="L23" i="27"/>
  <c r="M23" i="27" s="1"/>
  <c r="K23" i="27"/>
  <c r="C23" i="27"/>
  <c r="D23" i="27" s="1"/>
  <c r="T22" i="27"/>
  <c r="W22" i="27" s="1"/>
  <c r="M22" i="27"/>
  <c r="P22" i="27" s="1"/>
  <c r="K22" i="27"/>
  <c r="E22" i="27"/>
  <c r="D22" i="27"/>
  <c r="F22" i="27" s="1"/>
  <c r="T21" i="27"/>
  <c r="W21" i="27" s="1"/>
  <c r="M21" i="27"/>
  <c r="P21" i="27" s="1"/>
  <c r="K21" i="27"/>
  <c r="E21" i="27"/>
  <c r="D21" i="27"/>
  <c r="F21" i="27" s="1"/>
  <c r="T20" i="27"/>
  <c r="W20" i="27" s="1"/>
  <c r="M20" i="27"/>
  <c r="P20" i="27" s="1"/>
  <c r="K20" i="27"/>
  <c r="E20" i="27"/>
  <c r="D20" i="27"/>
  <c r="F20" i="27" s="1"/>
  <c r="T19" i="27"/>
  <c r="W19" i="27" s="1"/>
  <c r="M19" i="27"/>
  <c r="P19" i="27" s="1"/>
  <c r="K19" i="27"/>
  <c r="E19" i="27"/>
  <c r="D19" i="27"/>
  <c r="F19" i="27" s="1"/>
  <c r="T18" i="27"/>
  <c r="W18" i="27" s="1"/>
  <c r="M18" i="27"/>
  <c r="P18" i="27" s="1"/>
  <c r="K18" i="27"/>
  <c r="E18" i="27"/>
  <c r="D18" i="27"/>
  <c r="F18" i="27" s="1"/>
  <c r="T17" i="27"/>
  <c r="W17" i="27" s="1"/>
  <c r="M17" i="27"/>
  <c r="P17" i="27" s="1"/>
  <c r="K17" i="27"/>
  <c r="E17" i="27"/>
  <c r="D17" i="27"/>
  <c r="F17" i="27" s="1"/>
  <c r="T16" i="27"/>
  <c r="W16" i="27" s="1"/>
  <c r="M16" i="27"/>
  <c r="P16" i="27" s="1"/>
  <c r="K16" i="27"/>
  <c r="E16" i="27"/>
  <c r="D16" i="27"/>
  <c r="F16" i="27" s="1"/>
  <c r="T15" i="27"/>
  <c r="W15" i="27" s="1"/>
  <c r="M15" i="27"/>
  <c r="P15" i="27" s="1"/>
  <c r="K15" i="27"/>
  <c r="E15" i="27"/>
  <c r="D15" i="27"/>
  <c r="F15" i="27" s="1"/>
  <c r="T14" i="27"/>
  <c r="W14" i="27" s="1"/>
  <c r="M14" i="27"/>
  <c r="P14" i="27" s="1"/>
  <c r="K14" i="27"/>
  <c r="E14" i="27"/>
  <c r="D14" i="27"/>
  <c r="F14" i="27" s="1"/>
  <c r="T13" i="27"/>
  <c r="W13" i="27" s="1"/>
  <c r="M13" i="27"/>
  <c r="P13" i="27" s="1"/>
  <c r="K13" i="27"/>
  <c r="E13" i="27"/>
  <c r="D13" i="27"/>
  <c r="F13" i="27" s="1"/>
  <c r="T12" i="27"/>
  <c r="W12" i="27" s="1"/>
  <c r="M12" i="27"/>
  <c r="P12" i="27" s="1"/>
  <c r="K12" i="27"/>
  <c r="E12" i="27"/>
  <c r="D12" i="27"/>
  <c r="F12" i="27" s="1"/>
  <c r="T11" i="27"/>
  <c r="W11" i="27" s="1"/>
  <c r="M11" i="27"/>
  <c r="P11" i="27" s="1"/>
  <c r="K11" i="27"/>
  <c r="E11" i="27"/>
  <c r="D11" i="27"/>
  <c r="F11" i="27" s="1"/>
  <c r="W10" i="27"/>
  <c r="P10" i="27"/>
  <c r="T9" i="27"/>
  <c r="W9" i="27" s="1"/>
  <c r="M9" i="27"/>
  <c r="P9" i="27" s="1"/>
  <c r="K9" i="27"/>
  <c r="E9" i="27"/>
  <c r="D9" i="27"/>
  <c r="F9" i="27" s="1"/>
  <c r="T8" i="27"/>
  <c r="W8" i="27" s="1"/>
  <c r="M8" i="27"/>
  <c r="P8" i="27" s="1"/>
  <c r="K8" i="27"/>
  <c r="E8" i="27"/>
  <c r="D8" i="27"/>
  <c r="F8" i="27" s="1"/>
  <c r="T7" i="27"/>
  <c r="W7" i="27" s="1"/>
  <c r="M7" i="27"/>
  <c r="P7" i="27" s="1"/>
  <c r="K7" i="27"/>
  <c r="E7" i="27"/>
  <c r="D7" i="27"/>
  <c r="F7" i="27" s="1"/>
  <c r="F23" i="27" l="1"/>
  <c r="P23" i="27"/>
  <c r="T22" i="26"/>
  <c r="W22" i="26" s="1"/>
  <c r="O22" i="26"/>
  <c r="E22" i="26" s="1"/>
  <c r="L22" i="26"/>
  <c r="M22" i="26" s="1"/>
  <c r="P22" i="26" s="1"/>
  <c r="K22" i="26"/>
  <c r="D22" i="26"/>
  <c r="T21" i="26"/>
  <c r="W21" i="26" s="1"/>
  <c r="M21" i="26"/>
  <c r="P21" i="26" s="1"/>
  <c r="K21" i="26"/>
  <c r="E21" i="26"/>
  <c r="D21" i="26"/>
  <c r="F21" i="26" s="1"/>
  <c r="T20" i="26"/>
  <c r="W20" i="26" s="1"/>
  <c r="M20" i="26"/>
  <c r="P20" i="26" s="1"/>
  <c r="K20" i="26"/>
  <c r="E20" i="26"/>
  <c r="D20" i="26"/>
  <c r="F20" i="26" s="1"/>
  <c r="T19" i="26"/>
  <c r="W19" i="26" s="1"/>
  <c r="M19" i="26"/>
  <c r="P19" i="26" s="1"/>
  <c r="K19" i="26"/>
  <c r="E19" i="26"/>
  <c r="D19" i="26"/>
  <c r="F19" i="26" s="1"/>
  <c r="T18" i="26"/>
  <c r="W18" i="26" s="1"/>
  <c r="M18" i="26"/>
  <c r="P18" i="26" s="1"/>
  <c r="K18" i="26"/>
  <c r="E18" i="26"/>
  <c r="D18" i="26"/>
  <c r="F18" i="26" s="1"/>
  <c r="T17" i="26"/>
  <c r="W17" i="26" s="1"/>
  <c r="M17" i="26"/>
  <c r="P17" i="26" s="1"/>
  <c r="K17" i="26"/>
  <c r="E17" i="26"/>
  <c r="D17" i="26"/>
  <c r="F17" i="26" s="1"/>
  <c r="T16" i="26"/>
  <c r="W16" i="26" s="1"/>
  <c r="M16" i="26"/>
  <c r="P16" i="26" s="1"/>
  <c r="K16" i="26"/>
  <c r="E16" i="26"/>
  <c r="D16" i="26"/>
  <c r="F16" i="26" s="1"/>
  <c r="T15" i="26"/>
  <c r="W15" i="26" s="1"/>
  <c r="M15" i="26"/>
  <c r="P15" i="26" s="1"/>
  <c r="K15" i="26"/>
  <c r="E15" i="26"/>
  <c r="D15" i="26"/>
  <c r="F15" i="26" s="1"/>
  <c r="T14" i="26"/>
  <c r="W14" i="26" s="1"/>
  <c r="M14" i="26"/>
  <c r="P14" i="26" s="1"/>
  <c r="K14" i="26"/>
  <c r="F14" i="26"/>
  <c r="E14" i="26"/>
  <c r="D14" i="26"/>
  <c r="T13" i="26"/>
  <c r="W13" i="26" s="1"/>
  <c r="M13" i="26"/>
  <c r="P13" i="26" s="1"/>
  <c r="K13" i="26"/>
  <c r="E13" i="26"/>
  <c r="D13" i="26"/>
  <c r="F13" i="26" s="1"/>
  <c r="T12" i="26"/>
  <c r="W12" i="26" s="1"/>
  <c r="M12" i="26"/>
  <c r="P12" i="26" s="1"/>
  <c r="K12" i="26"/>
  <c r="E12" i="26"/>
  <c r="D12" i="26"/>
  <c r="F12" i="26" s="1"/>
  <c r="T11" i="26"/>
  <c r="W11" i="26" s="1"/>
  <c r="M11" i="26"/>
  <c r="P11" i="26" s="1"/>
  <c r="K11" i="26"/>
  <c r="F11" i="26"/>
  <c r="E11" i="26"/>
  <c r="D11" i="26"/>
  <c r="T10" i="26"/>
  <c r="W10" i="26" s="1"/>
  <c r="P10" i="26"/>
  <c r="M10" i="26"/>
  <c r="K10" i="26"/>
  <c r="E10" i="26"/>
  <c r="D10" i="26"/>
  <c r="F10" i="26" s="1"/>
  <c r="W9" i="26"/>
  <c r="P9" i="26"/>
  <c r="T8" i="26"/>
  <c r="W8" i="26" s="1"/>
  <c r="M8" i="26"/>
  <c r="P8" i="26" s="1"/>
  <c r="K8" i="26"/>
  <c r="E8" i="26"/>
  <c r="D8" i="26"/>
  <c r="F8" i="26" s="1"/>
  <c r="T7" i="26"/>
  <c r="W7" i="26" s="1"/>
  <c r="M7" i="26"/>
  <c r="P7" i="26" s="1"/>
  <c r="K7" i="26"/>
  <c r="E7" i="26"/>
  <c r="D7" i="26"/>
  <c r="F7" i="26" s="1"/>
  <c r="T6" i="26"/>
  <c r="W6" i="26" s="1"/>
  <c r="M6" i="26"/>
  <c r="P6" i="26" s="1"/>
  <c r="K6" i="26"/>
  <c r="E6" i="26"/>
  <c r="D6" i="26"/>
  <c r="F6" i="26" s="1"/>
  <c r="F22" i="26" l="1"/>
  <c r="T22" i="23"/>
  <c r="W22" i="23" s="1"/>
  <c r="M22" i="23"/>
  <c r="P22" i="23" s="1"/>
  <c r="K22" i="23"/>
  <c r="E22" i="23"/>
  <c r="D22" i="23"/>
  <c r="F22" i="23" s="1"/>
  <c r="T21" i="23"/>
  <c r="W21" i="23" s="1"/>
  <c r="M21" i="23"/>
  <c r="P21" i="23" s="1"/>
  <c r="K21" i="23"/>
  <c r="E21" i="23"/>
  <c r="D21" i="23"/>
  <c r="F21" i="23" s="1"/>
  <c r="T20" i="23"/>
  <c r="W20" i="23" s="1"/>
  <c r="M20" i="23"/>
  <c r="P20" i="23" s="1"/>
  <c r="K20" i="23"/>
  <c r="E20" i="23"/>
  <c r="D20" i="23"/>
  <c r="F20" i="23" s="1"/>
  <c r="T19" i="23"/>
  <c r="W19" i="23" s="1"/>
  <c r="M19" i="23"/>
  <c r="P19" i="23" s="1"/>
  <c r="K19" i="23"/>
  <c r="E19" i="23"/>
  <c r="D19" i="23"/>
  <c r="F19" i="23" s="1"/>
  <c r="T18" i="23"/>
  <c r="W18" i="23" s="1"/>
  <c r="M18" i="23"/>
  <c r="P18" i="23" s="1"/>
  <c r="K18" i="23"/>
  <c r="D18" i="23"/>
  <c r="F18" i="23" s="1"/>
  <c r="T17" i="23"/>
  <c r="W17" i="23" s="1"/>
  <c r="P17" i="23"/>
  <c r="E17" i="23"/>
  <c r="D17" i="23"/>
  <c r="F17" i="23" s="1"/>
  <c r="T16" i="23"/>
  <c r="W16" i="23" s="1"/>
  <c r="M16" i="23"/>
  <c r="P16" i="23" s="1"/>
  <c r="K16" i="23"/>
  <c r="E16" i="23"/>
  <c r="D16" i="23"/>
  <c r="F16" i="23" s="1"/>
  <c r="T15" i="23"/>
  <c r="W15" i="23" s="1"/>
  <c r="M15" i="23"/>
  <c r="P15" i="23" s="1"/>
  <c r="K15" i="23"/>
  <c r="E15" i="23"/>
  <c r="D15" i="23"/>
  <c r="F15" i="23" s="1"/>
  <c r="T14" i="23"/>
  <c r="W14" i="23" s="1"/>
  <c r="M14" i="23"/>
  <c r="P14" i="23" s="1"/>
  <c r="K14" i="23"/>
  <c r="E14" i="23"/>
  <c r="D14" i="23"/>
  <c r="F14" i="23" s="1"/>
  <c r="T13" i="23"/>
  <c r="W13" i="23" s="1"/>
  <c r="M13" i="23"/>
  <c r="P13" i="23" s="1"/>
  <c r="K13" i="23"/>
  <c r="E13" i="23"/>
  <c r="D13" i="23"/>
  <c r="F13" i="23" s="1"/>
  <c r="T12" i="23"/>
  <c r="W12" i="23" s="1"/>
  <c r="M12" i="23"/>
  <c r="P12" i="23" s="1"/>
  <c r="K12" i="23"/>
  <c r="E12" i="23"/>
  <c r="D12" i="23"/>
  <c r="F12" i="23" s="1"/>
  <c r="T11" i="23"/>
  <c r="W11" i="23" s="1"/>
  <c r="M11" i="23"/>
  <c r="P11" i="23" s="1"/>
  <c r="K11" i="23"/>
  <c r="E11" i="23"/>
  <c r="D11" i="23"/>
  <c r="F11" i="23" s="1"/>
  <c r="T10" i="23"/>
  <c r="W10" i="23" s="1"/>
  <c r="M10" i="23"/>
  <c r="P10" i="23" s="1"/>
  <c r="K10" i="23"/>
  <c r="E10" i="23"/>
  <c r="D10" i="23"/>
  <c r="F10" i="23" s="1"/>
  <c r="W9" i="23"/>
  <c r="P9" i="23"/>
  <c r="T8" i="23"/>
  <c r="W8" i="23" s="1"/>
  <c r="M8" i="23"/>
  <c r="P8" i="23" s="1"/>
  <c r="K8" i="23"/>
  <c r="E8" i="23"/>
  <c r="D8" i="23"/>
  <c r="F8" i="23" s="1"/>
  <c r="T7" i="23"/>
  <c r="W7" i="23" s="1"/>
  <c r="M7" i="23"/>
  <c r="P7" i="23" s="1"/>
  <c r="K7" i="23"/>
  <c r="E7" i="23"/>
  <c r="D7" i="23"/>
  <c r="F7" i="23" s="1"/>
  <c r="T6" i="23"/>
  <c r="W6" i="23" s="1"/>
  <c r="M6" i="23"/>
  <c r="P6" i="23" s="1"/>
  <c r="K6" i="23"/>
  <c r="E6" i="23"/>
  <c r="D6" i="23"/>
  <c r="F6" i="23" s="1"/>
  <c r="T22" i="22" l="1"/>
  <c r="W22" i="22" s="1"/>
  <c r="O22" i="22"/>
  <c r="E22" i="22" s="1"/>
  <c r="L22" i="22"/>
  <c r="M22" i="22" s="1"/>
  <c r="K22" i="22"/>
  <c r="C22" i="22"/>
  <c r="D22" i="22" s="1"/>
  <c r="F22" i="22" s="1"/>
  <c r="T21" i="22"/>
  <c r="W21" i="22" s="1"/>
  <c r="M21" i="22"/>
  <c r="P21" i="22" s="1"/>
  <c r="K21" i="22"/>
  <c r="E21" i="22"/>
  <c r="D21" i="22"/>
  <c r="F21" i="22" s="1"/>
  <c r="T20" i="22"/>
  <c r="W20" i="22" s="1"/>
  <c r="M20" i="22"/>
  <c r="P20" i="22" s="1"/>
  <c r="K20" i="22"/>
  <c r="E20" i="22"/>
  <c r="D20" i="22"/>
  <c r="F20" i="22" s="1"/>
  <c r="T19" i="22"/>
  <c r="W19" i="22" s="1"/>
  <c r="M19" i="22"/>
  <c r="P19" i="22" s="1"/>
  <c r="K19" i="22"/>
  <c r="E19" i="22"/>
  <c r="D19" i="22"/>
  <c r="F19" i="22" s="1"/>
  <c r="T18" i="22"/>
  <c r="W18" i="22" s="1"/>
  <c r="M18" i="22"/>
  <c r="P18" i="22" s="1"/>
  <c r="K18" i="22"/>
  <c r="E18" i="22"/>
  <c r="D18" i="22"/>
  <c r="F18" i="22" s="1"/>
  <c r="T17" i="22"/>
  <c r="W17" i="22" s="1"/>
  <c r="M17" i="22"/>
  <c r="P17" i="22" s="1"/>
  <c r="K17" i="22"/>
  <c r="E17" i="22"/>
  <c r="D17" i="22"/>
  <c r="F17" i="22" s="1"/>
  <c r="T16" i="22"/>
  <c r="W16" i="22" s="1"/>
  <c r="M16" i="22"/>
  <c r="P16" i="22" s="1"/>
  <c r="K16" i="22"/>
  <c r="E16" i="22"/>
  <c r="D16" i="22"/>
  <c r="F16" i="22" s="1"/>
  <c r="T15" i="22"/>
  <c r="W15" i="22" s="1"/>
  <c r="M15" i="22"/>
  <c r="P15" i="22" s="1"/>
  <c r="K15" i="22"/>
  <c r="E15" i="22"/>
  <c r="D15" i="22"/>
  <c r="F15" i="22" s="1"/>
  <c r="T14" i="22"/>
  <c r="W14" i="22" s="1"/>
  <c r="M14" i="22"/>
  <c r="P14" i="22" s="1"/>
  <c r="K14" i="22"/>
  <c r="E14" i="22"/>
  <c r="D14" i="22"/>
  <c r="F14" i="22" s="1"/>
  <c r="T13" i="22"/>
  <c r="W13" i="22" s="1"/>
  <c r="M13" i="22"/>
  <c r="P13" i="22" s="1"/>
  <c r="K13" i="22"/>
  <c r="E13" i="22"/>
  <c r="D13" i="22"/>
  <c r="F13" i="22" s="1"/>
  <c r="T12" i="22"/>
  <c r="W12" i="22" s="1"/>
  <c r="M12" i="22"/>
  <c r="P12" i="22" s="1"/>
  <c r="K12" i="22"/>
  <c r="E12" i="22"/>
  <c r="D12" i="22"/>
  <c r="F12" i="22" s="1"/>
  <c r="T11" i="22"/>
  <c r="W11" i="22" s="1"/>
  <c r="M11" i="22"/>
  <c r="P11" i="22" s="1"/>
  <c r="K11" i="22"/>
  <c r="E11" i="22"/>
  <c r="D11" i="22"/>
  <c r="F11" i="22" s="1"/>
  <c r="T10" i="22"/>
  <c r="W10" i="22" s="1"/>
  <c r="M10" i="22"/>
  <c r="P10" i="22" s="1"/>
  <c r="K10" i="22"/>
  <c r="E10" i="22"/>
  <c r="D10" i="22"/>
  <c r="F10" i="22" s="1"/>
  <c r="W9" i="22"/>
  <c r="P9" i="22"/>
  <c r="K9" i="22"/>
  <c r="T8" i="22"/>
  <c r="W8" i="22" s="1"/>
  <c r="Q8" i="22"/>
  <c r="L8" i="22"/>
  <c r="J8" i="22"/>
  <c r="I8" i="22"/>
  <c r="E8" i="22"/>
  <c r="D8" i="22"/>
  <c r="F8" i="22" s="1"/>
  <c r="T7" i="22"/>
  <c r="W7" i="22" s="1"/>
  <c r="M7" i="22"/>
  <c r="P7" i="22" s="1"/>
  <c r="K7" i="22"/>
  <c r="E7" i="22"/>
  <c r="D7" i="22"/>
  <c r="F7" i="22" s="1"/>
  <c r="T6" i="22"/>
  <c r="W6" i="22" s="1"/>
  <c r="R6" i="22"/>
  <c r="M6" i="22"/>
  <c r="P6" i="22" s="1"/>
  <c r="K6" i="22"/>
  <c r="E6" i="22"/>
  <c r="C6" i="22"/>
  <c r="D6" i="22" s="1"/>
  <c r="F6" i="22" s="1"/>
  <c r="P22" i="22" l="1"/>
  <c r="K8" i="22"/>
  <c r="M8" i="22"/>
  <c r="P8" i="22" s="1"/>
  <c r="T22" i="21" l="1"/>
  <c r="W22" i="21" s="1"/>
  <c r="O22" i="21"/>
  <c r="E22" i="21" s="1"/>
  <c r="L22" i="21"/>
  <c r="M22" i="21" s="1"/>
  <c r="K22" i="21"/>
  <c r="D22" i="21"/>
  <c r="T21" i="21"/>
  <c r="W21" i="21" s="1"/>
  <c r="O21" i="21"/>
  <c r="E21" i="21" s="1"/>
  <c r="L21" i="21"/>
  <c r="M21" i="21" s="1"/>
  <c r="K21" i="21"/>
  <c r="C21" i="21"/>
  <c r="D21" i="21" s="1"/>
  <c r="T20" i="21"/>
  <c r="W20" i="21" s="1"/>
  <c r="M20" i="21"/>
  <c r="P20" i="21" s="1"/>
  <c r="K20" i="21"/>
  <c r="E20" i="21"/>
  <c r="D20" i="21"/>
  <c r="F20" i="21" s="1"/>
  <c r="T19" i="21"/>
  <c r="W19" i="21" s="1"/>
  <c r="M19" i="21"/>
  <c r="P19" i="21" s="1"/>
  <c r="K19" i="21"/>
  <c r="E19" i="21"/>
  <c r="D19" i="21"/>
  <c r="F19" i="21" s="1"/>
  <c r="T18" i="21"/>
  <c r="W18" i="21" s="1"/>
  <c r="M18" i="21"/>
  <c r="P18" i="21" s="1"/>
  <c r="K18" i="21"/>
  <c r="E18" i="21"/>
  <c r="D18" i="21"/>
  <c r="F18" i="21" s="1"/>
  <c r="T17" i="21"/>
  <c r="W17" i="21" s="1"/>
  <c r="M17" i="21"/>
  <c r="P17" i="21" s="1"/>
  <c r="K17" i="21"/>
  <c r="E17" i="21"/>
  <c r="D17" i="21"/>
  <c r="F17" i="21" s="1"/>
  <c r="T16" i="21"/>
  <c r="W16" i="21" s="1"/>
  <c r="M16" i="21"/>
  <c r="P16" i="21" s="1"/>
  <c r="K16" i="21"/>
  <c r="E16" i="21"/>
  <c r="D16" i="21"/>
  <c r="F16" i="21" s="1"/>
  <c r="T15" i="21"/>
  <c r="W15" i="21" s="1"/>
  <c r="M15" i="21"/>
  <c r="P15" i="21" s="1"/>
  <c r="K15" i="21"/>
  <c r="E15" i="21"/>
  <c r="D15" i="21"/>
  <c r="F15" i="21" s="1"/>
  <c r="T14" i="21"/>
  <c r="W14" i="21" s="1"/>
  <c r="M14" i="21"/>
  <c r="P14" i="21" s="1"/>
  <c r="K14" i="21"/>
  <c r="E14" i="21"/>
  <c r="D14" i="21"/>
  <c r="F14" i="21" s="1"/>
  <c r="T13" i="21"/>
  <c r="W13" i="21" s="1"/>
  <c r="M13" i="21"/>
  <c r="P13" i="21" s="1"/>
  <c r="K13" i="21"/>
  <c r="E13" i="21"/>
  <c r="D13" i="21"/>
  <c r="F13" i="21" s="1"/>
  <c r="T12" i="21"/>
  <c r="W12" i="21" s="1"/>
  <c r="M12" i="21"/>
  <c r="P12" i="21" s="1"/>
  <c r="K12" i="21"/>
  <c r="E12" i="21"/>
  <c r="D12" i="21"/>
  <c r="F12" i="21" s="1"/>
  <c r="T11" i="21"/>
  <c r="W11" i="21" s="1"/>
  <c r="P11" i="21"/>
  <c r="K11" i="21"/>
  <c r="E11" i="21"/>
  <c r="D11" i="21"/>
  <c r="F11" i="21" s="1"/>
  <c r="T10" i="21"/>
  <c r="W10" i="21" s="1"/>
  <c r="P10" i="21"/>
  <c r="K10" i="21"/>
  <c r="E10" i="21"/>
  <c r="D10" i="21"/>
  <c r="F10" i="21" s="1"/>
  <c r="W9" i="21"/>
  <c r="P9" i="21"/>
  <c r="T8" i="21"/>
  <c r="W8" i="21" s="1"/>
  <c r="M8" i="21"/>
  <c r="P8" i="21" s="1"/>
  <c r="K8" i="21"/>
  <c r="E8" i="21"/>
  <c r="D8" i="21"/>
  <c r="F8" i="21" s="1"/>
  <c r="T7" i="21"/>
  <c r="W7" i="21" s="1"/>
  <c r="M7" i="21"/>
  <c r="P7" i="21" s="1"/>
  <c r="K7" i="21"/>
  <c r="E7" i="21"/>
  <c r="D7" i="21"/>
  <c r="F7" i="21" s="1"/>
  <c r="T6" i="21"/>
  <c r="W6" i="21" s="1"/>
  <c r="M6" i="21"/>
  <c r="P6" i="21" s="1"/>
  <c r="K6" i="21"/>
  <c r="E6" i="21"/>
  <c r="D6" i="21"/>
  <c r="F6" i="21" s="1"/>
  <c r="P21" i="21" l="1"/>
  <c r="P22" i="21"/>
  <c r="F21" i="21"/>
  <c r="F22" i="21"/>
  <c r="T22" i="10" l="1"/>
  <c r="W22" i="10" s="1"/>
  <c r="L22" i="10"/>
  <c r="M22" i="10" s="1"/>
  <c r="P22" i="10" s="1"/>
  <c r="K22" i="10"/>
  <c r="E22" i="10"/>
  <c r="C22" i="10"/>
  <c r="D22" i="10" s="1"/>
  <c r="F22" i="10" s="1"/>
  <c r="T21" i="10"/>
  <c r="W21" i="10" s="1"/>
  <c r="M21" i="10"/>
  <c r="P21" i="10" s="1"/>
  <c r="K21" i="10"/>
  <c r="E21" i="10"/>
  <c r="D21" i="10"/>
  <c r="F21" i="10" s="1"/>
  <c r="T20" i="10"/>
  <c r="W20" i="10" s="1"/>
  <c r="M20" i="10"/>
  <c r="P20" i="10" s="1"/>
  <c r="K20" i="10"/>
  <c r="E20" i="10"/>
  <c r="D20" i="10"/>
  <c r="F19" i="10" s="1"/>
  <c r="T19" i="10"/>
  <c r="W19" i="10" s="1"/>
  <c r="M19" i="10"/>
  <c r="P19" i="10" s="1"/>
  <c r="K19" i="10"/>
  <c r="E19" i="10"/>
  <c r="D19" i="10"/>
  <c r="F18" i="10" s="1"/>
  <c r="T18" i="10"/>
  <c r="W18" i="10" s="1"/>
  <c r="M18" i="10"/>
  <c r="P18" i="10" s="1"/>
  <c r="K18" i="10"/>
  <c r="E18" i="10"/>
  <c r="D18" i="10"/>
  <c r="F17" i="10" s="1"/>
  <c r="T17" i="10"/>
  <c r="W17" i="10" s="1"/>
  <c r="M17" i="10"/>
  <c r="P17" i="10" s="1"/>
  <c r="K17" i="10"/>
  <c r="E17" i="10"/>
  <c r="D17" i="10"/>
  <c r="T16" i="10"/>
  <c r="W16" i="10" s="1"/>
  <c r="M16" i="10"/>
  <c r="P16" i="10" s="1"/>
  <c r="K16" i="10"/>
  <c r="E16" i="10"/>
  <c r="D16" i="10"/>
  <c r="F16" i="10" s="1"/>
  <c r="T15" i="10"/>
  <c r="W15" i="10" s="1"/>
  <c r="M15" i="10"/>
  <c r="P15" i="10" s="1"/>
  <c r="K15" i="10"/>
  <c r="E15" i="10"/>
  <c r="D15" i="10"/>
  <c r="F15" i="10" s="1"/>
  <c r="T14" i="10"/>
  <c r="W14" i="10" s="1"/>
  <c r="M14" i="10"/>
  <c r="P14" i="10" s="1"/>
  <c r="K14" i="10"/>
  <c r="E14" i="10"/>
  <c r="D14" i="10"/>
  <c r="F14" i="10" s="1"/>
  <c r="T13" i="10"/>
  <c r="W13" i="10" s="1"/>
  <c r="M13" i="10"/>
  <c r="P13" i="10" s="1"/>
  <c r="K13" i="10"/>
  <c r="E13" i="10"/>
  <c r="D13" i="10"/>
  <c r="F13" i="10" s="1"/>
  <c r="T12" i="10"/>
  <c r="W12" i="10" s="1"/>
  <c r="M12" i="10"/>
  <c r="P12" i="10" s="1"/>
  <c r="K12" i="10"/>
  <c r="D12" i="10"/>
  <c r="F12" i="10" s="1"/>
  <c r="T11" i="10"/>
  <c r="W11" i="10" s="1"/>
  <c r="M11" i="10"/>
  <c r="P11" i="10" s="1"/>
  <c r="K11" i="10"/>
  <c r="D11" i="10"/>
  <c r="F11" i="10" s="1"/>
  <c r="T10" i="10"/>
  <c r="W10" i="10" s="1"/>
  <c r="M10" i="10"/>
  <c r="P10" i="10" s="1"/>
  <c r="K10" i="10"/>
  <c r="D10" i="10"/>
  <c r="F10" i="10" s="1"/>
  <c r="W9" i="10"/>
  <c r="M9" i="10"/>
  <c r="P9" i="10" s="1"/>
  <c r="T8" i="10"/>
  <c r="W8" i="10" s="1"/>
  <c r="M8" i="10"/>
  <c r="P8" i="10" s="1"/>
  <c r="K8" i="10"/>
  <c r="D8" i="10"/>
  <c r="F8" i="10" s="1"/>
  <c r="T7" i="10"/>
  <c r="W7" i="10" s="1"/>
  <c r="M7" i="10"/>
  <c r="P7" i="10" s="1"/>
  <c r="K7" i="10"/>
  <c r="E7" i="10"/>
  <c r="D7" i="10"/>
  <c r="F7" i="10" s="1"/>
  <c r="T6" i="10"/>
  <c r="W6" i="10" s="1"/>
  <c r="M6" i="10"/>
  <c r="P6" i="10" s="1"/>
  <c r="K6" i="10"/>
  <c r="E6" i="10"/>
  <c r="D6" i="10"/>
  <c r="F6" i="10" s="1"/>
  <c r="E12" i="10" l="1"/>
  <c r="E11" i="10"/>
  <c r="E10" i="10"/>
  <c r="E8" i="10"/>
  <c r="E17" i="59" l="1"/>
  <c r="D17" i="59"/>
  <c r="F17" i="59" s="1"/>
  <c r="T16" i="59"/>
  <c r="W16" i="59" s="1"/>
  <c r="M16" i="59"/>
  <c r="P16" i="59" s="1"/>
  <c r="K16" i="59"/>
  <c r="E16" i="59"/>
  <c r="D16" i="59"/>
  <c r="F16" i="59" s="1"/>
  <c r="T15" i="59"/>
  <c r="W15" i="59" s="1"/>
  <c r="M15" i="59"/>
  <c r="P15" i="59" s="1"/>
  <c r="K15" i="59"/>
  <c r="E15" i="59"/>
  <c r="D15" i="59"/>
  <c r="F15" i="59" s="1"/>
  <c r="T14" i="59"/>
  <c r="W14" i="59" s="1"/>
  <c r="M14" i="59"/>
  <c r="P14" i="59" s="1"/>
  <c r="K14" i="59"/>
  <c r="E14" i="59"/>
  <c r="D14" i="59"/>
  <c r="F14" i="59" s="1"/>
  <c r="T13" i="59"/>
  <c r="W13" i="59" s="1"/>
  <c r="M13" i="59"/>
  <c r="P13" i="59" s="1"/>
  <c r="K13" i="59"/>
  <c r="E13" i="59"/>
  <c r="D13" i="59"/>
  <c r="F13" i="59" s="1"/>
  <c r="T12" i="59"/>
  <c r="W12" i="59" s="1"/>
  <c r="M12" i="59"/>
  <c r="P12" i="59" s="1"/>
  <c r="K12" i="59"/>
  <c r="E12" i="59"/>
  <c r="D12" i="59"/>
  <c r="F12" i="59" s="1"/>
  <c r="T11" i="59"/>
  <c r="W11" i="59" s="1"/>
  <c r="M11" i="59"/>
  <c r="P11" i="59" s="1"/>
  <c r="K11" i="59"/>
  <c r="E11" i="59"/>
  <c r="D11" i="59"/>
  <c r="F11" i="59" s="1"/>
  <c r="T10" i="59"/>
  <c r="W10" i="59" s="1"/>
  <c r="M10" i="59"/>
  <c r="P10" i="59" s="1"/>
  <c r="K10" i="59"/>
  <c r="E10" i="59"/>
  <c r="D10" i="59"/>
  <c r="F10" i="59" s="1"/>
  <c r="W9" i="59"/>
  <c r="P9" i="59"/>
  <c r="T8" i="59"/>
  <c r="W8" i="59" s="1"/>
  <c r="M8" i="59"/>
  <c r="P8" i="59" s="1"/>
  <c r="K8" i="59"/>
  <c r="E8" i="59"/>
  <c r="D8" i="59"/>
  <c r="F8" i="59" s="1"/>
  <c r="T7" i="59"/>
  <c r="W7" i="59" s="1"/>
  <c r="M7" i="59"/>
  <c r="P7" i="59" s="1"/>
  <c r="K7" i="59"/>
  <c r="E7" i="59"/>
  <c r="D7" i="59"/>
  <c r="F7" i="59" s="1"/>
  <c r="T6" i="59"/>
  <c r="W6" i="59" s="1"/>
  <c r="M6" i="59"/>
  <c r="P6" i="59" s="1"/>
  <c r="K6" i="59"/>
  <c r="E6" i="59"/>
  <c r="D6" i="59"/>
  <c r="F6" i="59" s="1"/>
  <c r="T22" i="9" l="1"/>
  <c r="W22" i="9" s="1"/>
  <c r="O22" i="9"/>
  <c r="E22" i="9" s="1"/>
  <c r="L22" i="9"/>
  <c r="M22" i="9" s="1"/>
  <c r="K22" i="9"/>
  <c r="C22" i="9"/>
  <c r="D22" i="9" s="1"/>
  <c r="T21" i="9"/>
  <c r="W21" i="9" s="1"/>
  <c r="M21" i="9"/>
  <c r="P21" i="9" s="1"/>
  <c r="K21" i="9"/>
  <c r="E21" i="9"/>
  <c r="D21" i="9"/>
  <c r="F21" i="9" s="1"/>
  <c r="T20" i="9"/>
  <c r="W20" i="9" s="1"/>
  <c r="M20" i="9"/>
  <c r="P20" i="9" s="1"/>
  <c r="K20" i="9"/>
  <c r="E20" i="9"/>
  <c r="D20" i="9"/>
  <c r="F20" i="9" s="1"/>
  <c r="T19" i="9"/>
  <c r="W19" i="9" s="1"/>
  <c r="M19" i="9"/>
  <c r="P19" i="9" s="1"/>
  <c r="K19" i="9"/>
  <c r="E19" i="9"/>
  <c r="D19" i="9"/>
  <c r="F19" i="9" s="1"/>
  <c r="T18" i="9"/>
  <c r="W18" i="9" s="1"/>
  <c r="M18" i="9"/>
  <c r="P18" i="9" s="1"/>
  <c r="K18" i="9"/>
  <c r="F18" i="9"/>
  <c r="E18" i="9"/>
  <c r="T17" i="9"/>
  <c r="W17" i="9" s="1"/>
  <c r="M17" i="9"/>
  <c r="P17" i="9" s="1"/>
  <c r="K17" i="9"/>
  <c r="E17" i="9"/>
  <c r="D17" i="9"/>
  <c r="F17" i="9" s="1"/>
  <c r="T16" i="9"/>
  <c r="W16" i="9" s="1"/>
  <c r="M16" i="9"/>
  <c r="P16" i="9" s="1"/>
  <c r="K16" i="9"/>
  <c r="E16" i="9"/>
  <c r="D16" i="9"/>
  <c r="F16" i="9" s="1"/>
  <c r="T15" i="9"/>
  <c r="W15" i="9" s="1"/>
  <c r="M15" i="9"/>
  <c r="P15" i="9" s="1"/>
  <c r="K15" i="9"/>
  <c r="E15" i="9"/>
  <c r="D15" i="9"/>
  <c r="F15" i="9" s="1"/>
  <c r="T14" i="9"/>
  <c r="W14" i="9" s="1"/>
  <c r="M14" i="9"/>
  <c r="P14" i="9" s="1"/>
  <c r="K14" i="9"/>
  <c r="E14" i="9"/>
  <c r="D14" i="9"/>
  <c r="F14" i="9" s="1"/>
  <c r="T13" i="9"/>
  <c r="W13" i="9" s="1"/>
  <c r="M13" i="9"/>
  <c r="P13" i="9" s="1"/>
  <c r="K13" i="9"/>
  <c r="E13" i="9"/>
  <c r="D13" i="9"/>
  <c r="F13" i="9" s="1"/>
  <c r="T12" i="9"/>
  <c r="W12" i="9" s="1"/>
  <c r="M12" i="9"/>
  <c r="P12" i="9" s="1"/>
  <c r="K12" i="9"/>
  <c r="E12" i="9"/>
  <c r="D12" i="9"/>
  <c r="F12" i="9" s="1"/>
  <c r="T11" i="9"/>
  <c r="W11" i="9" s="1"/>
  <c r="M11" i="9"/>
  <c r="P11" i="9" s="1"/>
  <c r="K11" i="9"/>
  <c r="E11" i="9"/>
  <c r="D11" i="9"/>
  <c r="F11" i="9" s="1"/>
  <c r="T10" i="9"/>
  <c r="W10" i="9" s="1"/>
  <c r="M10" i="9"/>
  <c r="P10" i="9" s="1"/>
  <c r="K10" i="9"/>
  <c r="E10" i="9"/>
  <c r="D10" i="9"/>
  <c r="F10" i="9" s="1"/>
  <c r="W9" i="9"/>
  <c r="P9" i="9"/>
  <c r="T8" i="9"/>
  <c r="W8" i="9" s="1"/>
  <c r="M8" i="9"/>
  <c r="P8" i="9" s="1"/>
  <c r="K8" i="9"/>
  <c r="E8" i="9"/>
  <c r="D8" i="9"/>
  <c r="F8" i="9" s="1"/>
  <c r="T7" i="9"/>
  <c r="W7" i="9" s="1"/>
  <c r="M7" i="9"/>
  <c r="P7" i="9" s="1"/>
  <c r="K7" i="9"/>
  <c r="E7" i="9"/>
  <c r="D7" i="9"/>
  <c r="F7" i="9" s="1"/>
  <c r="T6" i="9"/>
  <c r="W6" i="9" s="1"/>
  <c r="M6" i="9"/>
  <c r="P6" i="9" s="1"/>
  <c r="K6" i="9"/>
  <c r="E6" i="9"/>
  <c r="D6" i="9"/>
  <c r="F6" i="9" s="1"/>
  <c r="F22" i="9" l="1"/>
  <c r="P22" i="9"/>
  <c r="T22" i="7"/>
  <c r="W22" i="7" s="1"/>
  <c r="M22" i="7"/>
  <c r="P22" i="7" s="1"/>
  <c r="K22" i="7"/>
  <c r="E22" i="7"/>
  <c r="D22" i="7"/>
  <c r="F22" i="7" s="1"/>
  <c r="T21" i="7"/>
  <c r="W21" i="7" s="1"/>
  <c r="M21" i="7"/>
  <c r="P21" i="7" s="1"/>
  <c r="K21" i="7"/>
  <c r="E21" i="7"/>
  <c r="D21" i="7"/>
  <c r="F21" i="7" s="1"/>
  <c r="T20" i="7"/>
  <c r="W20" i="7" s="1"/>
  <c r="M20" i="7"/>
  <c r="P20" i="7" s="1"/>
  <c r="K20" i="7"/>
  <c r="E20" i="7"/>
  <c r="D20" i="7"/>
  <c r="F20" i="7" s="1"/>
  <c r="T19" i="7"/>
  <c r="W19" i="7" s="1"/>
  <c r="M19" i="7"/>
  <c r="P19" i="7" s="1"/>
  <c r="K19" i="7"/>
  <c r="E19" i="7"/>
  <c r="D19" i="7"/>
  <c r="F19" i="7" s="1"/>
  <c r="T18" i="7"/>
  <c r="W18" i="7" s="1"/>
  <c r="M18" i="7"/>
  <c r="P18" i="7" s="1"/>
  <c r="K18" i="7"/>
  <c r="E18" i="7"/>
  <c r="D18" i="7"/>
  <c r="F18" i="7" s="1"/>
  <c r="T17" i="7"/>
  <c r="W17" i="7" s="1"/>
  <c r="M17" i="7"/>
  <c r="P17" i="7" s="1"/>
  <c r="K17" i="7"/>
  <c r="E17" i="7"/>
  <c r="D17" i="7"/>
  <c r="F17" i="7" s="1"/>
  <c r="T16" i="7"/>
  <c r="W16" i="7" s="1"/>
  <c r="M16" i="7"/>
  <c r="P16" i="7" s="1"/>
  <c r="K16" i="7"/>
  <c r="E16" i="7"/>
  <c r="D16" i="7"/>
  <c r="F16" i="7" s="1"/>
  <c r="T15" i="7"/>
  <c r="W15" i="7" s="1"/>
  <c r="M15" i="7"/>
  <c r="P15" i="7" s="1"/>
  <c r="K15" i="7"/>
  <c r="E15" i="7"/>
  <c r="D15" i="7"/>
  <c r="F15" i="7" s="1"/>
  <c r="T14" i="7"/>
  <c r="W14" i="7" s="1"/>
  <c r="M14" i="7"/>
  <c r="P14" i="7" s="1"/>
  <c r="K14" i="7"/>
  <c r="E14" i="7"/>
  <c r="D14" i="7"/>
  <c r="F14" i="7" s="1"/>
  <c r="T13" i="7"/>
  <c r="W13" i="7" s="1"/>
  <c r="M13" i="7"/>
  <c r="P13" i="7" s="1"/>
  <c r="K13" i="7"/>
  <c r="E13" i="7"/>
  <c r="D13" i="7"/>
  <c r="F13" i="7" s="1"/>
  <c r="T12" i="7"/>
  <c r="W12" i="7" s="1"/>
  <c r="M12" i="7"/>
  <c r="P12" i="7" s="1"/>
  <c r="K12" i="7"/>
  <c r="E12" i="7"/>
  <c r="D12" i="7"/>
  <c r="F12" i="7" s="1"/>
  <c r="T11" i="7"/>
  <c r="W11" i="7" s="1"/>
  <c r="P11" i="7"/>
  <c r="K11" i="7"/>
  <c r="E11" i="7"/>
  <c r="D11" i="7"/>
  <c r="F11" i="7" s="1"/>
  <c r="T10" i="7"/>
  <c r="W10" i="7" s="1"/>
  <c r="M10" i="7"/>
  <c r="P10" i="7" s="1"/>
  <c r="K10" i="7"/>
  <c r="E10" i="7"/>
  <c r="D10" i="7"/>
  <c r="F10" i="7" s="1"/>
  <c r="W9" i="7"/>
  <c r="P9" i="7"/>
  <c r="T8" i="7"/>
  <c r="W8" i="7" s="1"/>
  <c r="M8" i="7"/>
  <c r="P8" i="7" s="1"/>
  <c r="K8" i="7"/>
  <c r="E8" i="7"/>
  <c r="D8" i="7"/>
  <c r="F8" i="7" s="1"/>
  <c r="T7" i="7"/>
  <c r="W7" i="7" s="1"/>
  <c r="M7" i="7"/>
  <c r="P7" i="7" s="1"/>
  <c r="K7" i="7"/>
  <c r="E7" i="7"/>
  <c r="D7" i="7"/>
  <c r="F7" i="7" s="1"/>
  <c r="T6" i="7"/>
  <c r="W6" i="7" s="1"/>
  <c r="M6" i="7"/>
  <c r="P6" i="7" s="1"/>
  <c r="K6" i="7"/>
  <c r="E6" i="7"/>
  <c r="D6" i="7"/>
  <c r="F6" i="7" s="1"/>
  <c r="T22" i="6" l="1"/>
  <c r="W22" i="6" s="1"/>
  <c r="O22" i="6"/>
  <c r="E22" i="6" s="1"/>
  <c r="L22" i="6"/>
  <c r="M22" i="6" s="1"/>
  <c r="K22" i="6"/>
  <c r="C22" i="6"/>
  <c r="D22" i="6" s="1"/>
  <c r="T21" i="6"/>
  <c r="W21" i="6" s="1"/>
  <c r="M21" i="6"/>
  <c r="P21" i="6" s="1"/>
  <c r="K21" i="6"/>
  <c r="E21" i="6"/>
  <c r="D21" i="6"/>
  <c r="F21" i="6" s="1"/>
  <c r="T20" i="6"/>
  <c r="W20" i="6" s="1"/>
  <c r="M20" i="6"/>
  <c r="P20" i="6" s="1"/>
  <c r="K20" i="6"/>
  <c r="E20" i="6"/>
  <c r="D20" i="6"/>
  <c r="F20" i="6" s="1"/>
  <c r="T19" i="6"/>
  <c r="W19" i="6" s="1"/>
  <c r="M19" i="6"/>
  <c r="P19" i="6" s="1"/>
  <c r="K19" i="6"/>
  <c r="E19" i="6"/>
  <c r="D19" i="6"/>
  <c r="F19" i="6" s="1"/>
  <c r="T18" i="6"/>
  <c r="W18" i="6" s="1"/>
  <c r="M18" i="6"/>
  <c r="P18" i="6" s="1"/>
  <c r="K18" i="6"/>
  <c r="E18" i="6"/>
  <c r="D18" i="6"/>
  <c r="F18" i="6" s="1"/>
  <c r="T17" i="6"/>
  <c r="W17" i="6" s="1"/>
  <c r="M17" i="6"/>
  <c r="P17" i="6" s="1"/>
  <c r="K17" i="6"/>
  <c r="E17" i="6"/>
  <c r="D17" i="6"/>
  <c r="F17" i="6" s="1"/>
  <c r="T16" i="6"/>
  <c r="W16" i="6" s="1"/>
  <c r="M16" i="6"/>
  <c r="P16" i="6" s="1"/>
  <c r="K16" i="6"/>
  <c r="E16" i="6"/>
  <c r="D16" i="6"/>
  <c r="F16" i="6" s="1"/>
  <c r="T15" i="6"/>
  <c r="W15" i="6" s="1"/>
  <c r="M15" i="6"/>
  <c r="P15" i="6" s="1"/>
  <c r="K15" i="6"/>
  <c r="E15" i="6"/>
  <c r="D15" i="6"/>
  <c r="F15" i="6" s="1"/>
  <c r="T14" i="6"/>
  <c r="W14" i="6" s="1"/>
  <c r="M14" i="6"/>
  <c r="P14" i="6" s="1"/>
  <c r="K14" i="6"/>
  <c r="E14" i="6"/>
  <c r="D14" i="6"/>
  <c r="F14" i="6" s="1"/>
  <c r="T13" i="6"/>
  <c r="W13" i="6" s="1"/>
  <c r="M13" i="6"/>
  <c r="P13" i="6" s="1"/>
  <c r="K13" i="6"/>
  <c r="E13" i="6"/>
  <c r="D13" i="6"/>
  <c r="F13" i="6" s="1"/>
  <c r="T12" i="6"/>
  <c r="W12" i="6" s="1"/>
  <c r="M12" i="6"/>
  <c r="P12" i="6" s="1"/>
  <c r="K12" i="6"/>
  <c r="E12" i="6"/>
  <c r="D12" i="6"/>
  <c r="F12" i="6" s="1"/>
  <c r="T11" i="6"/>
  <c r="W11" i="6" s="1"/>
  <c r="M11" i="6"/>
  <c r="P11" i="6" s="1"/>
  <c r="K11" i="6"/>
  <c r="E11" i="6"/>
  <c r="D11" i="6"/>
  <c r="F11" i="6" s="1"/>
  <c r="W10" i="6"/>
  <c r="P10" i="6"/>
  <c r="W9" i="6"/>
  <c r="P9" i="6"/>
  <c r="T8" i="6"/>
  <c r="W8" i="6" s="1"/>
  <c r="M8" i="6"/>
  <c r="P8" i="6" s="1"/>
  <c r="K8" i="6"/>
  <c r="E8" i="6"/>
  <c r="D8" i="6"/>
  <c r="F8" i="6" s="1"/>
  <c r="T7" i="6"/>
  <c r="W7" i="6" s="1"/>
  <c r="M7" i="6"/>
  <c r="P7" i="6" s="1"/>
  <c r="K7" i="6"/>
  <c r="E7" i="6"/>
  <c r="D7" i="6"/>
  <c r="F7" i="6" s="1"/>
  <c r="T6" i="6"/>
  <c r="W6" i="6" s="1"/>
  <c r="M6" i="6"/>
  <c r="P6" i="6" s="1"/>
  <c r="K6" i="6"/>
  <c r="E6" i="6"/>
  <c r="D6" i="6"/>
  <c r="F6" i="6" s="1"/>
  <c r="P22" i="6" l="1"/>
  <c r="F22" i="6"/>
  <c r="T22" i="4"/>
  <c r="W22" i="4" s="1"/>
  <c r="O22" i="4"/>
  <c r="E22" i="4" s="1"/>
  <c r="L22" i="4"/>
  <c r="M22" i="4" s="1"/>
  <c r="K22" i="4"/>
  <c r="D22" i="4"/>
  <c r="T21" i="4"/>
  <c r="W21" i="4" s="1"/>
  <c r="O21" i="4"/>
  <c r="E21" i="4" s="1"/>
  <c r="M21" i="4"/>
  <c r="K21" i="4"/>
  <c r="D21" i="4"/>
  <c r="T20" i="4"/>
  <c r="W20" i="4" s="1"/>
  <c r="M20" i="4"/>
  <c r="P20" i="4" s="1"/>
  <c r="K20" i="4"/>
  <c r="E20" i="4"/>
  <c r="D20" i="4"/>
  <c r="F20" i="4" s="1"/>
  <c r="T19" i="4"/>
  <c r="W19" i="4" s="1"/>
  <c r="M19" i="4"/>
  <c r="P19" i="4" s="1"/>
  <c r="K19" i="4"/>
  <c r="E19" i="4"/>
  <c r="D19" i="4"/>
  <c r="F19" i="4" s="1"/>
  <c r="T18" i="4"/>
  <c r="W18" i="4" s="1"/>
  <c r="M18" i="4"/>
  <c r="P18" i="4" s="1"/>
  <c r="K18" i="4"/>
  <c r="E18" i="4"/>
  <c r="D18" i="4"/>
  <c r="F18" i="4" s="1"/>
  <c r="T17" i="4"/>
  <c r="W17" i="4" s="1"/>
  <c r="M17" i="4"/>
  <c r="P17" i="4" s="1"/>
  <c r="K17" i="4"/>
  <c r="E17" i="4"/>
  <c r="D17" i="4"/>
  <c r="F17" i="4" s="1"/>
  <c r="T16" i="4"/>
  <c r="W16" i="4" s="1"/>
  <c r="M16" i="4"/>
  <c r="P16" i="4" s="1"/>
  <c r="K16" i="4"/>
  <c r="E16" i="4"/>
  <c r="D16" i="4"/>
  <c r="F16" i="4" s="1"/>
  <c r="T15" i="4"/>
  <c r="W15" i="4" s="1"/>
  <c r="M15" i="4"/>
  <c r="P15" i="4" s="1"/>
  <c r="K15" i="4"/>
  <c r="E15" i="4"/>
  <c r="D15" i="4"/>
  <c r="F15" i="4" s="1"/>
  <c r="T14" i="4"/>
  <c r="W14" i="4" s="1"/>
  <c r="M14" i="4"/>
  <c r="P14" i="4" s="1"/>
  <c r="K14" i="4"/>
  <c r="E14" i="4"/>
  <c r="D14" i="4"/>
  <c r="F14" i="4" s="1"/>
  <c r="T13" i="4"/>
  <c r="W13" i="4" s="1"/>
  <c r="M13" i="4"/>
  <c r="P13" i="4" s="1"/>
  <c r="K13" i="4"/>
  <c r="E13" i="4"/>
  <c r="D13" i="4"/>
  <c r="F13" i="4" s="1"/>
  <c r="T12" i="4"/>
  <c r="W12" i="4" s="1"/>
  <c r="M12" i="4"/>
  <c r="P12" i="4" s="1"/>
  <c r="K12" i="4"/>
  <c r="E12" i="4"/>
  <c r="D12" i="4"/>
  <c r="F12" i="4" s="1"/>
  <c r="T11" i="4"/>
  <c r="W11" i="4" s="1"/>
  <c r="M11" i="4"/>
  <c r="P11" i="4" s="1"/>
  <c r="K11" i="4"/>
  <c r="E11" i="4"/>
  <c r="D11" i="4"/>
  <c r="F11" i="4" s="1"/>
  <c r="T10" i="4"/>
  <c r="W10" i="4" s="1"/>
  <c r="M10" i="4"/>
  <c r="P10" i="4" s="1"/>
  <c r="K10" i="4"/>
  <c r="E10" i="4"/>
  <c r="D10" i="4"/>
  <c r="F10" i="4" s="1"/>
  <c r="W9" i="4"/>
  <c r="P9" i="4"/>
  <c r="T8" i="4"/>
  <c r="W8" i="4" s="1"/>
  <c r="M8" i="4"/>
  <c r="P8" i="4" s="1"/>
  <c r="K8" i="4"/>
  <c r="E8" i="4"/>
  <c r="D8" i="4"/>
  <c r="F8" i="4" s="1"/>
  <c r="T7" i="4"/>
  <c r="W7" i="4" s="1"/>
  <c r="M7" i="4"/>
  <c r="P7" i="4" s="1"/>
  <c r="K7" i="4"/>
  <c r="E7" i="4"/>
  <c r="D7" i="4"/>
  <c r="F7" i="4" s="1"/>
  <c r="T6" i="4"/>
  <c r="W6" i="4" s="1"/>
  <c r="M6" i="4"/>
  <c r="P6" i="4" s="1"/>
  <c r="K6" i="4"/>
  <c r="E6" i="4"/>
  <c r="D6" i="4"/>
  <c r="F6" i="4" s="1"/>
  <c r="P22" i="4" l="1"/>
  <c r="F22" i="4"/>
  <c r="P21" i="4"/>
  <c r="F21" i="4"/>
  <c r="T22" i="56"/>
  <c r="W22" i="56" s="1"/>
  <c r="M22" i="56"/>
  <c r="P22" i="56" s="1"/>
  <c r="K22" i="56"/>
  <c r="E22" i="56"/>
  <c r="C22" i="56"/>
  <c r="D22" i="56" s="1"/>
  <c r="F22" i="56" s="1"/>
  <c r="T21" i="56"/>
  <c r="W21" i="56" s="1"/>
  <c r="M21" i="56"/>
  <c r="P21" i="56" s="1"/>
  <c r="K21" i="56"/>
  <c r="E21" i="56"/>
  <c r="D21" i="56"/>
  <c r="F21" i="56" s="1"/>
  <c r="T20" i="56"/>
  <c r="W20" i="56" s="1"/>
  <c r="M20" i="56"/>
  <c r="P20" i="56" s="1"/>
  <c r="K20" i="56"/>
  <c r="E20" i="56"/>
  <c r="D20" i="56"/>
  <c r="F20" i="56" s="1"/>
  <c r="T19" i="56"/>
  <c r="W19" i="56" s="1"/>
  <c r="M19" i="56"/>
  <c r="P19" i="56" s="1"/>
  <c r="K19" i="56"/>
  <c r="E19" i="56"/>
  <c r="D19" i="56"/>
  <c r="F19" i="56" s="1"/>
  <c r="T18" i="56"/>
  <c r="W18" i="56" s="1"/>
  <c r="M18" i="56"/>
  <c r="P18" i="56" s="1"/>
  <c r="K18" i="56"/>
  <c r="E18" i="56"/>
  <c r="D18" i="56"/>
  <c r="F18" i="56" s="1"/>
  <c r="T17" i="56"/>
  <c r="W17" i="56" s="1"/>
  <c r="P17" i="56"/>
  <c r="K17" i="56"/>
  <c r="E17" i="56"/>
  <c r="D17" i="56"/>
  <c r="F17" i="56" s="1"/>
  <c r="T16" i="56"/>
  <c r="W16" i="56" s="1"/>
  <c r="M16" i="56"/>
  <c r="P16" i="56" s="1"/>
  <c r="K16" i="56"/>
  <c r="E16" i="56"/>
  <c r="D16" i="56"/>
  <c r="F16" i="56" s="1"/>
  <c r="T15" i="56"/>
  <c r="W15" i="56" s="1"/>
  <c r="M15" i="56"/>
  <c r="P15" i="56" s="1"/>
  <c r="K15" i="56"/>
  <c r="E15" i="56"/>
  <c r="D15" i="56"/>
  <c r="F15" i="56" s="1"/>
  <c r="T14" i="56"/>
  <c r="W14" i="56" s="1"/>
  <c r="M14" i="56"/>
  <c r="P14" i="56" s="1"/>
  <c r="K14" i="56"/>
  <c r="E14" i="56"/>
  <c r="D14" i="56"/>
  <c r="F14" i="56" s="1"/>
  <c r="T13" i="56"/>
  <c r="W13" i="56" s="1"/>
  <c r="P13" i="56"/>
  <c r="K13" i="56"/>
  <c r="E13" i="56"/>
  <c r="D13" i="56"/>
  <c r="F13" i="56" s="1"/>
  <c r="T12" i="56"/>
  <c r="W12" i="56" s="1"/>
  <c r="P12" i="56"/>
  <c r="K12" i="56"/>
  <c r="E12" i="56"/>
  <c r="D12" i="56"/>
  <c r="T11" i="56"/>
  <c r="W11" i="56" s="1"/>
  <c r="P11" i="56"/>
  <c r="D11" i="56"/>
  <c r="T10" i="56"/>
  <c r="W10" i="56" s="1"/>
  <c r="P10" i="56"/>
  <c r="E10" i="56"/>
  <c r="D10" i="56"/>
  <c r="W9" i="56"/>
  <c r="P9" i="56"/>
  <c r="T8" i="56"/>
  <c r="W8" i="56" s="1"/>
  <c r="M8" i="56"/>
  <c r="P8" i="56" s="1"/>
  <c r="K8" i="56"/>
  <c r="E8" i="56"/>
  <c r="D8" i="56"/>
  <c r="F8" i="56" s="1"/>
  <c r="T7" i="56"/>
  <c r="W7" i="56" s="1"/>
  <c r="M7" i="56"/>
  <c r="P7" i="56" s="1"/>
  <c r="K7" i="56"/>
  <c r="E7" i="56"/>
  <c r="D7" i="56"/>
  <c r="F7" i="56" s="1"/>
  <c r="T6" i="56"/>
  <c r="W6" i="56" s="1"/>
  <c r="M6" i="56"/>
  <c r="P6" i="56" s="1"/>
  <c r="K6" i="56"/>
  <c r="E6" i="56"/>
  <c r="D6" i="56"/>
  <c r="F6" i="56" s="1"/>
  <c r="T22" i="53" l="1"/>
  <c r="W22" i="53" s="1"/>
  <c r="O22" i="53"/>
  <c r="E22" i="53" s="1"/>
  <c r="L22" i="53"/>
  <c r="M22" i="53" s="1"/>
  <c r="K22" i="53"/>
  <c r="D22" i="53"/>
  <c r="T21" i="53"/>
  <c r="W21" i="53" s="1"/>
  <c r="M21" i="53"/>
  <c r="P21" i="53" s="1"/>
  <c r="K21" i="53"/>
  <c r="E21" i="53"/>
  <c r="D21" i="53"/>
  <c r="F21" i="53" s="1"/>
  <c r="T20" i="53"/>
  <c r="W20" i="53" s="1"/>
  <c r="M20" i="53"/>
  <c r="P20" i="53" s="1"/>
  <c r="K20" i="53"/>
  <c r="E20" i="53"/>
  <c r="D20" i="53"/>
  <c r="F20" i="53" s="1"/>
  <c r="T19" i="53"/>
  <c r="W19" i="53" s="1"/>
  <c r="M19" i="53"/>
  <c r="P19" i="53" s="1"/>
  <c r="K19" i="53"/>
  <c r="E19" i="53"/>
  <c r="D19" i="53"/>
  <c r="F19" i="53" s="1"/>
  <c r="T18" i="53"/>
  <c r="W18" i="53" s="1"/>
  <c r="M18" i="53"/>
  <c r="P18" i="53" s="1"/>
  <c r="K18" i="53"/>
  <c r="E18" i="53"/>
  <c r="D18" i="53"/>
  <c r="F18" i="53" s="1"/>
  <c r="T17" i="53"/>
  <c r="W17" i="53" s="1"/>
  <c r="M17" i="53"/>
  <c r="P17" i="53" s="1"/>
  <c r="K17" i="53"/>
  <c r="E17" i="53"/>
  <c r="D17" i="53"/>
  <c r="F17" i="53" s="1"/>
  <c r="T16" i="53"/>
  <c r="W16" i="53" s="1"/>
  <c r="M16" i="53"/>
  <c r="P16" i="53" s="1"/>
  <c r="K16" i="53"/>
  <c r="E16" i="53"/>
  <c r="D16" i="53"/>
  <c r="F16" i="53" s="1"/>
  <c r="T15" i="53"/>
  <c r="W15" i="53" s="1"/>
  <c r="M15" i="53"/>
  <c r="P15" i="53" s="1"/>
  <c r="K15" i="53"/>
  <c r="E15" i="53"/>
  <c r="D15" i="53"/>
  <c r="F15" i="53" s="1"/>
  <c r="T14" i="53"/>
  <c r="W14" i="53" s="1"/>
  <c r="M14" i="53"/>
  <c r="P14" i="53" s="1"/>
  <c r="K14" i="53"/>
  <c r="E14" i="53"/>
  <c r="D14" i="53"/>
  <c r="F14" i="53" s="1"/>
  <c r="T13" i="53"/>
  <c r="W13" i="53" s="1"/>
  <c r="M13" i="53"/>
  <c r="P13" i="53" s="1"/>
  <c r="K13" i="53"/>
  <c r="E13" i="53"/>
  <c r="D13" i="53"/>
  <c r="F13" i="53" s="1"/>
  <c r="T12" i="53"/>
  <c r="W12" i="53" s="1"/>
  <c r="M12" i="53"/>
  <c r="P12" i="53" s="1"/>
  <c r="K12" i="53"/>
  <c r="E12" i="53"/>
  <c r="D12" i="53"/>
  <c r="F12" i="53" s="1"/>
  <c r="T11" i="53"/>
  <c r="W11" i="53" s="1"/>
  <c r="M11" i="53"/>
  <c r="P11" i="53" s="1"/>
  <c r="K11" i="53"/>
  <c r="E11" i="53"/>
  <c r="D11" i="53"/>
  <c r="F11" i="53" s="1"/>
  <c r="T10" i="53"/>
  <c r="W10" i="53" s="1"/>
  <c r="M10" i="53"/>
  <c r="P10" i="53" s="1"/>
  <c r="K10" i="53"/>
  <c r="E10" i="53"/>
  <c r="D10" i="53"/>
  <c r="F10" i="53" s="1"/>
  <c r="W9" i="53"/>
  <c r="P9" i="53"/>
  <c r="T8" i="53"/>
  <c r="W8" i="53" s="1"/>
  <c r="M8" i="53"/>
  <c r="P8" i="53" s="1"/>
  <c r="K8" i="53"/>
  <c r="E8" i="53"/>
  <c r="D8" i="53"/>
  <c r="F8" i="53" s="1"/>
  <c r="T7" i="53"/>
  <c r="W7" i="53" s="1"/>
  <c r="M7" i="53"/>
  <c r="P7" i="53" s="1"/>
  <c r="K7" i="53"/>
  <c r="E7" i="53"/>
  <c r="D7" i="53"/>
  <c r="F7" i="53" s="1"/>
  <c r="T6" i="53"/>
  <c r="W6" i="53" s="1"/>
  <c r="M6" i="53"/>
  <c r="P6" i="53" s="1"/>
  <c r="K6" i="53"/>
  <c r="E6" i="53"/>
  <c r="D6" i="53"/>
  <c r="F6" i="53" s="1"/>
  <c r="P22" i="53" l="1"/>
  <c r="F22" i="53"/>
  <c r="T22" i="52"/>
  <c r="W22" i="52" s="1"/>
  <c r="O22" i="52"/>
  <c r="E22" i="52" s="1"/>
  <c r="L22" i="52"/>
  <c r="M22" i="52" s="1"/>
  <c r="K22" i="52"/>
  <c r="D22" i="52"/>
  <c r="T21" i="52"/>
  <c r="W21" i="52" s="1"/>
  <c r="M21" i="52"/>
  <c r="P21" i="52" s="1"/>
  <c r="K21" i="52"/>
  <c r="E21" i="52"/>
  <c r="D21" i="52"/>
  <c r="F21" i="52" s="1"/>
  <c r="T20" i="52"/>
  <c r="W20" i="52" s="1"/>
  <c r="M20" i="52"/>
  <c r="P20" i="52" s="1"/>
  <c r="K20" i="52"/>
  <c r="F20" i="52"/>
  <c r="E20" i="52"/>
  <c r="D20" i="52"/>
  <c r="T19" i="52"/>
  <c r="W19" i="52" s="1"/>
  <c r="M19" i="52"/>
  <c r="P19" i="52" s="1"/>
  <c r="K19" i="52"/>
  <c r="E19" i="52"/>
  <c r="D19" i="52"/>
  <c r="F19" i="52" s="1"/>
  <c r="T18" i="52"/>
  <c r="W18" i="52" s="1"/>
  <c r="M18" i="52"/>
  <c r="P18" i="52" s="1"/>
  <c r="K18" i="52"/>
  <c r="E18" i="52"/>
  <c r="D18" i="52"/>
  <c r="F18" i="52" s="1"/>
  <c r="T17" i="52"/>
  <c r="W17" i="52" s="1"/>
  <c r="M17" i="52"/>
  <c r="P17" i="52" s="1"/>
  <c r="K17" i="52"/>
  <c r="E17" i="52"/>
  <c r="D17" i="52"/>
  <c r="F17" i="52" s="1"/>
  <c r="T16" i="52"/>
  <c r="W16" i="52" s="1"/>
  <c r="M16" i="52"/>
  <c r="P16" i="52" s="1"/>
  <c r="K16" i="52"/>
  <c r="E16" i="52"/>
  <c r="D16" i="52"/>
  <c r="F16" i="52" s="1"/>
  <c r="T15" i="52"/>
  <c r="W15" i="52" s="1"/>
  <c r="M15" i="52"/>
  <c r="P15" i="52" s="1"/>
  <c r="K15" i="52"/>
  <c r="E15" i="52"/>
  <c r="D15" i="52"/>
  <c r="F15" i="52" s="1"/>
  <c r="T14" i="52"/>
  <c r="W14" i="52" s="1"/>
  <c r="M14" i="52"/>
  <c r="P14" i="52" s="1"/>
  <c r="K14" i="52"/>
  <c r="E14" i="52"/>
  <c r="D14" i="52"/>
  <c r="F14" i="52" s="1"/>
  <c r="T13" i="52"/>
  <c r="W13" i="52" s="1"/>
  <c r="M13" i="52"/>
  <c r="P13" i="52" s="1"/>
  <c r="K13" i="52"/>
  <c r="E13" i="52"/>
  <c r="D13" i="52"/>
  <c r="F13" i="52" s="1"/>
  <c r="T12" i="52"/>
  <c r="W12" i="52" s="1"/>
  <c r="M12" i="52"/>
  <c r="P12" i="52" s="1"/>
  <c r="K12" i="52"/>
  <c r="E12" i="52"/>
  <c r="D12" i="52"/>
  <c r="F12" i="52" s="1"/>
  <c r="T11" i="52"/>
  <c r="W11" i="52" s="1"/>
  <c r="M11" i="52"/>
  <c r="P11" i="52" s="1"/>
  <c r="K11" i="52"/>
  <c r="E11" i="52"/>
  <c r="D11" i="52"/>
  <c r="F11" i="52" s="1"/>
  <c r="T10" i="52"/>
  <c r="W10" i="52" s="1"/>
  <c r="M10" i="52"/>
  <c r="P10" i="52" s="1"/>
  <c r="K10" i="52"/>
  <c r="E10" i="52"/>
  <c r="D10" i="52"/>
  <c r="F10" i="52" s="1"/>
  <c r="W9" i="52"/>
  <c r="P9" i="52"/>
  <c r="T8" i="52"/>
  <c r="W8" i="52" s="1"/>
  <c r="M8" i="52"/>
  <c r="P8" i="52" s="1"/>
  <c r="K8" i="52"/>
  <c r="E8" i="52"/>
  <c r="D8" i="52"/>
  <c r="F8" i="52" s="1"/>
  <c r="T7" i="52"/>
  <c r="W7" i="52" s="1"/>
  <c r="M7" i="52"/>
  <c r="P7" i="52" s="1"/>
  <c r="K7" i="52"/>
  <c r="E7" i="52"/>
  <c r="D7" i="52"/>
  <c r="F7" i="52" s="1"/>
  <c r="T6" i="52"/>
  <c r="W6" i="52" s="1"/>
  <c r="M6" i="52"/>
  <c r="P6" i="52" s="1"/>
  <c r="K6" i="52"/>
  <c r="E6" i="52"/>
  <c r="D6" i="52"/>
  <c r="F6" i="52" s="1"/>
  <c r="P22" i="52" l="1"/>
  <c r="F22" i="52"/>
  <c r="T22" i="50"/>
  <c r="W22" i="50" s="1"/>
  <c r="O22" i="50"/>
  <c r="E22" i="50" s="1"/>
  <c r="L22" i="50"/>
  <c r="M22" i="50" s="1"/>
  <c r="P22" i="50" s="1"/>
  <c r="K22" i="50"/>
  <c r="D22" i="50"/>
  <c r="T21" i="50"/>
  <c r="W21" i="50" s="1"/>
  <c r="M21" i="50"/>
  <c r="P21" i="50" s="1"/>
  <c r="K21" i="50"/>
  <c r="E21" i="50"/>
  <c r="D21" i="50"/>
  <c r="F21" i="50" s="1"/>
  <c r="T20" i="50"/>
  <c r="W20" i="50" s="1"/>
  <c r="M20" i="50"/>
  <c r="P20" i="50" s="1"/>
  <c r="K20" i="50"/>
  <c r="E20" i="50"/>
  <c r="D20" i="50"/>
  <c r="F20" i="50" s="1"/>
  <c r="T19" i="50"/>
  <c r="W19" i="50" s="1"/>
  <c r="M19" i="50"/>
  <c r="P19" i="50" s="1"/>
  <c r="K19" i="50"/>
  <c r="E19" i="50"/>
  <c r="D19" i="50"/>
  <c r="F19" i="50" s="1"/>
  <c r="T18" i="50"/>
  <c r="W18" i="50" s="1"/>
  <c r="M18" i="50"/>
  <c r="P18" i="50" s="1"/>
  <c r="K18" i="50"/>
  <c r="E18" i="50"/>
  <c r="D18" i="50"/>
  <c r="F18" i="50" s="1"/>
  <c r="T17" i="50"/>
  <c r="W17" i="50" s="1"/>
  <c r="M17" i="50"/>
  <c r="P17" i="50" s="1"/>
  <c r="K17" i="50"/>
  <c r="E17" i="50"/>
  <c r="D17" i="50"/>
  <c r="F17" i="50" s="1"/>
  <c r="T16" i="50"/>
  <c r="W16" i="50" s="1"/>
  <c r="M16" i="50"/>
  <c r="P16" i="50" s="1"/>
  <c r="K16" i="50"/>
  <c r="E16" i="50"/>
  <c r="D16" i="50"/>
  <c r="F16" i="50" s="1"/>
  <c r="T15" i="50"/>
  <c r="W15" i="50" s="1"/>
  <c r="M15" i="50"/>
  <c r="P15" i="50" s="1"/>
  <c r="K15" i="50"/>
  <c r="E15" i="50"/>
  <c r="D15" i="50"/>
  <c r="F15" i="50" s="1"/>
  <c r="T14" i="50"/>
  <c r="W14" i="50" s="1"/>
  <c r="M14" i="50"/>
  <c r="P14" i="50" s="1"/>
  <c r="K14" i="50"/>
  <c r="E14" i="50"/>
  <c r="D14" i="50"/>
  <c r="F14" i="50" s="1"/>
  <c r="T13" i="50"/>
  <c r="W13" i="50" s="1"/>
  <c r="M13" i="50"/>
  <c r="P13" i="50" s="1"/>
  <c r="K13" i="50"/>
  <c r="E13" i="50"/>
  <c r="D13" i="50"/>
  <c r="F13" i="50" s="1"/>
  <c r="T12" i="50"/>
  <c r="W12" i="50" s="1"/>
  <c r="M12" i="50"/>
  <c r="P12" i="50" s="1"/>
  <c r="K12" i="50"/>
  <c r="E12" i="50"/>
  <c r="D12" i="50"/>
  <c r="F12" i="50" s="1"/>
  <c r="T11" i="50"/>
  <c r="W11" i="50" s="1"/>
  <c r="M11" i="50"/>
  <c r="P11" i="50" s="1"/>
  <c r="K11" i="50"/>
  <c r="E11" i="50"/>
  <c r="D11" i="50"/>
  <c r="F11" i="50" s="1"/>
  <c r="T10" i="50"/>
  <c r="W10" i="50" s="1"/>
  <c r="M10" i="50"/>
  <c r="P10" i="50" s="1"/>
  <c r="K10" i="50"/>
  <c r="E10" i="50"/>
  <c r="D10" i="50"/>
  <c r="F10" i="50" s="1"/>
  <c r="W9" i="50"/>
  <c r="P9" i="50"/>
  <c r="T8" i="50"/>
  <c r="W8" i="50" s="1"/>
  <c r="M8" i="50"/>
  <c r="P8" i="50" s="1"/>
  <c r="K8" i="50"/>
  <c r="E8" i="50"/>
  <c r="D8" i="50"/>
  <c r="F8" i="50" s="1"/>
  <c r="T7" i="50"/>
  <c r="W7" i="50" s="1"/>
  <c r="M7" i="50"/>
  <c r="P7" i="50" s="1"/>
  <c r="K7" i="50"/>
  <c r="E7" i="50"/>
  <c r="D7" i="50"/>
  <c r="F7" i="50" s="1"/>
  <c r="T6" i="50"/>
  <c r="W6" i="50" s="1"/>
  <c r="M6" i="50"/>
  <c r="P6" i="50" s="1"/>
  <c r="K6" i="50"/>
  <c r="E6" i="50"/>
  <c r="D6" i="50"/>
  <c r="F6" i="50" s="1"/>
  <c r="F22" i="50" l="1"/>
  <c r="T22" i="57"/>
  <c r="W22" i="57" s="1"/>
  <c r="O22" i="57"/>
  <c r="E22" i="57" s="1"/>
  <c r="M22" i="57"/>
  <c r="K22" i="57"/>
  <c r="D22" i="57"/>
  <c r="T21" i="57"/>
  <c r="W21" i="57" s="1"/>
  <c r="M21" i="57"/>
  <c r="P21" i="57" s="1"/>
  <c r="K21" i="57"/>
  <c r="E21" i="57"/>
  <c r="D21" i="57"/>
  <c r="F21" i="57" s="1"/>
  <c r="T20" i="57"/>
  <c r="W20" i="57" s="1"/>
  <c r="M20" i="57"/>
  <c r="P20" i="57" s="1"/>
  <c r="K20" i="57"/>
  <c r="E20" i="57"/>
  <c r="D20" i="57"/>
  <c r="F20" i="57" s="1"/>
  <c r="T19" i="57"/>
  <c r="W19" i="57" s="1"/>
  <c r="M19" i="57"/>
  <c r="P19" i="57" s="1"/>
  <c r="K19" i="57"/>
  <c r="E19" i="57"/>
  <c r="D19" i="57"/>
  <c r="F19" i="57" s="1"/>
  <c r="T18" i="57"/>
  <c r="W18" i="57" s="1"/>
  <c r="M18" i="57"/>
  <c r="P18" i="57" s="1"/>
  <c r="K18" i="57"/>
  <c r="E18" i="57"/>
  <c r="D18" i="57"/>
  <c r="F18" i="57" s="1"/>
  <c r="T17" i="57"/>
  <c r="W17" i="57" s="1"/>
  <c r="M17" i="57"/>
  <c r="P17" i="57" s="1"/>
  <c r="K17" i="57"/>
  <c r="E17" i="57"/>
  <c r="D17" i="57"/>
  <c r="F17" i="57" s="1"/>
  <c r="T16" i="57"/>
  <c r="W16" i="57" s="1"/>
  <c r="M16" i="57"/>
  <c r="P16" i="57" s="1"/>
  <c r="K16" i="57"/>
  <c r="E16" i="57"/>
  <c r="D16" i="57"/>
  <c r="F16" i="57" s="1"/>
  <c r="T15" i="57"/>
  <c r="W15" i="57" s="1"/>
  <c r="M15" i="57"/>
  <c r="P15" i="57" s="1"/>
  <c r="K15" i="57"/>
  <c r="E15" i="57"/>
  <c r="D15" i="57"/>
  <c r="F15" i="57" s="1"/>
  <c r="T14" i="57"/>
  <c r="W14" i="57" s="1"/>
  <c r="M14" i="57"/>
  <c r="P14" i="57" s="1"/>
  <c r="K14" i="57"/>
  <c r="E14" i="57"/>
  <c r="D14" i="57"/>
  <c r="F14" i="57" s="1"/>
  <c r="T13" i="57"/>
  <c r="W13" i="57" s="1"/>
  <c r="M13" i="57"/>
  <c r="P13" i="57" s="1"/>
  <c r="K13" i="57"/>
  <c r="E13" i="57"/>
  <c r="D13" i="57"/>
  <c r="F13" i="57" s="1"/>
  <c r="T12" i="57"/>
  <c r="W12" i="57" s="1"/>
  <c r="M12" i="57"/>
  <c r="P12" i="57" s="1"/>
  <c r="K12" i="57"/>
  <c r="E12" i="57"/>
  <c r="D12" i="57"/>
  <c r="F12" i="57" s="1"/>
  <c r="T11" i="57"/>
  <c r="W11" i="57" s="1"/>
  <c r="M11" i="57"/>
  <c r="P11" i="57" s="1"/>
  <c r="K11" i="57"/>
  <c r="E11" i="57"/>
  <c r="D11" i="57"/>
  <c r="F11" i="57" s="1"/>
  <c r="W10" i="57"/>
  <c r="P10" i="57"/>
  <c r="W9" i="57"/>
  <c r="P9" i="57"/>
  <c r="F9" i="57"/>
  <c r="E9" i="57"/>
  <c r="T8" i="57"/>
  <c r="W8" i="57" s="1"/>
  <c r="M8" i="57"/>
  <c r="P8" i="57" s="1"/>
  <c r="K8" i="57"/>
  <c r="E8" i="57"/>
  <c r="D8" i="57"/>
  <c r="F8" i="57" s="1"/>
  <c r="T7" i="57"/>
  <c r="W7" i="57" s="1"/>
  <c r="M7" i="57"/>
  <c r="P7" i="57" s="1"/>
  <c r="K7" i="57"/>
  <c r="E7" i="57"/>
  <c r="D7" i="57"/>
  <c r="F7" i="57" s="1"/>
  <c r="T6" i="57"/>
  <c r="W6" i="57" s="1"/>
  <c r="M6" i="57"/>
  <c r="P6" i="57" s="1"/>
  <c r="K6" i="57"/>
  <c r="E6" i="57"/>
  <c r="D6" i="57"/>
  <c r="F6" i="57" s="1"/>
  <c r="P22" i="57" l="1"/>
  <c r="F22" i="57"/>
  <c r="T22" i="40"/>
  <c r="W22" i="40" s="1"/>
  <c r="O22" i="40"/>
  <c r="E22" i="40" s="1"/>
  <c r="L22" i="40"/>
  <c r="M22" i="40" s="1"/>
  <c r="K22" i="40"/>
  <c r="D22" i="40"/>
  <c r="T21" i="40"/>
  <c r="W21" i="40" s="1"/>
  <c r="P21" i="40"/>
  <c r="K21" i="40"/>
  <c r="E21" i="40"/>
  <c r="D21" i="40"/>
  <c r="F21" i="40" s="1"/>
  <c r="T20" i="40"/>
  <c r="W20" i="40" s="1"/>
  <c r="M20" i="40"/>
  <c r="P20" i="40" s="1"/>
  <c r="K20" i="40"/>
  <c r="E20" i="40"/>
  <c r="D20" i="40"/>
  <c r="F20" i="40" s="1"/>
  <c r="T19" i="40"/>
  <c r="W19" i="40" s="1"/>
  <c r="M19" i="40"/>
  <c r="P19" i="40" s="1"/>
  <c r="K19" i="40"/>
  <c r="E19" i="40"/>
  <c r="D19" i="40"/>
  <c r="F19" i="40" s="1"/>
  <c r="T18" i="40"/>
  <c r="W18" i="40" s="1"/>
  <c r="M18" i="40"/>
  <c r="P18" i="40" s="1"/>
  <c r="K18" i="40"/>
  <c r="E18" i="40"/>
  <c r="D18" i="40"/>
  <c r="F18" i="40" s="1"/>
  <c r="T17" i="40"/>
  <c r="W17" i="40" s="1"/>
  <c r="P17" i="40"/>
  <c r="E17" i="40"/>
  <c r="D17" i="40"/>
  <c r="F17" i="40" s="1"/>
  <c r="T16" i="40"/>
  <c r="W16" i="40" s="1"/>
  <c r="M16" i="40"/>
  <c r="P16" i="40" s="1"/>
  <c r="K16" i="40"/>
  <c r="E16" i="40"/>
  <c r="D16" i="40"/>
  <c r="F16" i="40" s="1"/>
  <c r="T15" i="40"/>
  <c r="W15" i="40" s="1"/>
  <c r="M15" i="40"/>
  <c r="P15" i="40" s="1"/>
  <c r="K15" i="40"/>
  <c r="E15" i="40"/>
  <c r="D15" i="40"/>
  <c r="F15" i="40" s="1"/>
  <c r="T14" i="40"/>
  <c r="W14" i="40" s="1"/>
  <c r="M14" i="40"/>
  <c r="P14" i="40" s="1"/>
  <c r="K14" i="40"/>
  <c r="E14" i="40"/>
  <c r="D14" i="40"/>
  <c r="F14" i="40" s="1"/>
  <c r="T13" i="40"/>
  <c r="W13" i="40" s="1"/>
  <c r="M13" i="40"/>
  <c r="P13" i="40" s="1"/>
  <c r="K13" i="40"/>
  <c r="E13" i="40"/>
  <c r="D13" i="40"/>
  <c r="F13" i="40" s="1"/>
  <c r="T12" i="40"/>
  <c r="W12" i="40" s="1"/>
  <c r="M12" i="40"/>
  <c r="P12" i="40" s="1"/>
  <c r="K12" i="40"/>
  <c r="E12" i="40"/>
  <c r="D12" i="40"/>
  <c r="F12" i="40" s="1"/>
  <c r="T11" i="40"/>
  <c r="W11" i="40" s="1"/>
  <c r="M11" i="40"/>
  <c r="P11" i="40" s="1"/>
  <c r="K11" i="40"/>
  <c r="E11" i="40"/>
  <c r="D11" i="40"/>
  <c r="F11" i="40" s="1"/>
  <c r="T10" i="40"/>
  <c r="W10" i="40" s="1"/>
  <c r="M10" i="40"/>
  <c r="P10" i="40" s="1"/>
  <c r="K10" i="40"/>
  <c r="E10" i="40"/>
  <c r="D10" i="40"/>
  <c r="F10" i="40" s="1"/>
  <c r="W9" i="40"/>
  <c r="P9" i="40"/>
  <c r="T8" i="40"/>
  <c r="W8" i="40" s="1"/>
  <c r="M8" i="40"/>
  <c r="P8" i="40" s="1"/>
  <c r="K8" i="40"/>
  <c r="E8" i="40"/>
  <c r="D8" i="40"/>
  <c r="F8" i="40" s="1"/>
  <c r="T7" i="40"/>
  <c r="W7" i="40" s="1"/>
  <c r="M7" i="40"/>
  <c r="P7" i="40" s="1"/>
  <c r="K7" i="40"/>
  <c r="E7" i="40"/>
  <c r="D7" i="40"/>
  <c r="F7" i="40" s="1"/>
  <c r="T6" i="40"/>
  <c r="W6" i="40" s="1"/>
  <c r="M6" i="40"/>
  <c r="P6" i="40" s="1"/>
  <c r="K6" i="40"/>
  <c r="E6" i="40"/>
  <c r="D6" i="40"/>
  <c r="F6" i="40" s="1"/>
  <c r="P22" i="40" l="1"/>
  <c r="F22" i="40"/>
  <c r="T22" i="39"/>
  <c r="W22" i="39" s="1"/>
  <c r="M22" i="39"/>
  <c r="P22" i="39" s="1"/>
  <c r="K22" i="39"/>
  <c r="E22" i="39"/>
  <c r="C22" i="39"/>
  <c r="D22" i="39" s="1"/>
  <c r="F22" i="39" s="1"/>
  <c r="T21" i="39"/>
  <c r="W21" i="39" s="1"/>
  <c r="P21" i="39"/>
  <c r="K21" i="39"/>
  <c r="E21" i="39"/>
  <c r="D21" i="39"/>
  <c r="F21" i="39" s="1"/>
  <c r="T20" i="39"/>
  <c r="W20" i="39" s="1"/>
  <c r="M20" i="39"/>
  <c r="P20" i="39" s="1"/>
  <c r="K20" i="39"/>
  <c r="E20" i="39"/>
  <c r="D20" i="39"/>
  <c r="F20" i="39" s="1"/>
  <c r="T19" i="39"/>
  <c r="W19" i="39" s="1"/>
  <c r="M19" i="39"/>
  <c r="P19" i="39" s="1"/>
  <c r="K19" i="39"/>
  <c r="E19" i="39"/>
  <c r="D19" i="39"/>
  <c r="F19" i="39" s="1"/>
  <c r="T18" i="39"/>
  <c r="W18" i="39" s="1"/>
  <c r="M18" i="39"/>
  <c r="P18" i="39" s="1"/>
  <c r="K18" i="39"/>
  <c r="E18" i="39"/>
  <c r="D18" i="39"/>
  <c r="F18" i="39" s="1"/>
  <c r="T17" i="39"/>
  <c r="W17" i="39" s="1"/>
  <c r="M17" i="39"/>
  <c r="P17" i="39" s="1"/>
  <c r="K17" i="39"/>
  <c r="E17" i="39"/>
  <c r="D17" i="39"/>
  <c r="F17" i="39" s="1"/>
  <c r="T16" i="39"/>
  <c r="W16" i="39" s="1"/>
  <c r="M16" i="39"/>
  <c r="P16" i="39" s="1"/>
  <c r="K16" i="39"/>
  <c r="E16" i="39"/>
  <c r="D16" i="39"/>
  <c r="F16" i="39" s="1"/>
  <c r="T15" i="39"/>
  <c r="W15" i="39" s="1"/>
  <c r="M15" i="39"/>
  <c r="P15" i="39" s="1"/>
  <c r="K15" i="39"/>
  <c r="E15" i="39"/>
  <c r="D15" i="39"/>
  <c r="F15" i="39" s="1"/>
  <c r="T14" i="39"/>
  <c r="W14" i="39" s="1"/>
  <c r="M14" i="39"/>
  <c r="P14" i="39" s="1"/>
  <c r="K14" i="39"/>
  <c r="E14" i="39"/>
  <c r="D14" i="39"/>
  <c r="F14" i="39" s="1"/>
  <c r="T13" i="39"/>
  <c r="W13" i="39" s="1"/>
  <c r="M13" i="39"/>
  <c r="P13" i="39" s="1"/>
  <c r="K13" i="39"/>
  <c r="E13" i="39"/>
  <c r="D13" i="39"/>
  <c r="F13" i="39" s="1"/>
  <c r="T12" i="39"/>
  <c r="W12" i="39" s="1"/>
  <c r="M12" i="39"/>
  <c r="P12" i="39" s="1"/>
  <c r="K12" i="39"/>
  <c r="E12" i="39"/>
  <c r="D12" i="39"/>
  <c r="F12" i="39" s="1"/>
  <c r="T11" i="39"/>
  <c r="W11" i="39" s="1"/>
  <c r="M11" i="39"/>
  <c r="P11" i="39" s="1"/>
  <c r="K11" i="39"/>
  <c r="E11" i="39"/>
  <c r="D11" i="39"/>
  <c r="F11" i="39" s="1"/>
  <c r="T10" i="39"/>
  <c r="W10" i="39" s="1"/>
  <c r="M10" i="39"/>
  <c r="P10" i="39" s="1"/>
  <c r="K10" i="39"/>
  <c r="E10" i="39"/>
  <c r="D10" i="39"/>
  <c r="F10" i="39" s="1"/>
  <c r="W9" i="39"/>
  <c r="P9" i="39"/>
  <c r="T8" i="39"/>
  <c r="W8" i="39" s="1"/>
  <c r="M8" i="39"/>
  <c r="P8" i="39" s="1"/>
  <c r="K8" i="39"/>
  <c r="E8" i="39"/>
  <c r="D8" i="39"/>
  <c r="F8" i="39" s="1"/>
  <c r="T7" i="39"/>
  <c r="W7" i="39" s="1"/>
  <c r="M7" i="39"/>
  <c r="P7" i="39" s="1"/>
  <c r="K7" i="39"/>
  <c r="E7" i="39"/>
  <c r="D7" i="39"/>
  <c r="F7" i="39" s="1"/>
  <c r="T6" i="39"/>
  <c r="W6" i="39" s="1"/>
  <c r="M6" i="39"/>
  <c r="P6" i="39" s="1"/>
  <c r="K6" i="39"/>
  <c r="E6" i="39"/>
  <c r="D6" i="39"/>
  <c r="F6" i="39" s="1"/>
  <c r="W22" i="63" l="1"/>
  <c r="P22" i="63"/>
  <c r="W21" i="63"/>
  <c r="P21" i="63"/>
  <c r="W20" i="63"/>
  <c r="P20" i="63"/>
  <c r="W19" i="63"/>
  <c r="P19" i="63"/>
  <c r="W18" i="63"/>
  <c r="P18" i="63"/>
  <c r="W17" i="63"/>
  <c r="P17" i="63"/>
  <c r="W16" i="63"/>
  <c r="P16" i="63"/>
  <c r="W15" i="63"/>
  <c r="P15" i="63"/>
  <c r="W14" i="63"/>
  <c r="P14" i="63"/>
  <c r="W13" i="63"/>
  <c r="P13" i="63"/>
  <c r="W12" i="63"/>
  <c r="P12" i="63"/>
  <c r="W11" i="63"/>
  <c r="P11" i="63"/>
  <c r="W10" i="63"/>
  <c r="P10" i="63"/>
  <c r="W9" i="63"/>
  <c r="P9" i="63"/>
  <c r="T8" i="63"/>
  <c r="W8" i="63" s="1"/>
  <c r="M8" i="63"/>
  <c r="P8" i="63" s="1"/>
  <c r="K8" i="63"/>
  <c r="E8" i="63"/>
  <c r="D8" i="63"/>
  <c r="F8" i="63" s="1"/>
  <c r="T7" i="63"/>
  <c r="W7" i="63" s="1"/>
  <c r="M7" i="63"/>
  <c r="P7" i="63" s="1"/>
  <c r="K7" i="63"/>
  <c r="E7" i="63"/>
  <c r="D7" i="63"/>
  <c r="F7" i="63" s="1"/>
  <c r="T6" i="63"/>
  <c r="W6" i="63" s="1"/>
  <c r="M6" i="63"/>
  <c r="P6" i="63" s="1"/>
  <c r="K6" i="63"/>
  <c r="E6" i="63"/>
  <c r="D6" i="63"/>
  <c r="F6" i="63" s="1"/>
  <c r="T22" i="62" l="1"/>
  <c r="W22" i="62" s="1"/>
  <c r="O22" i="62"/>
  <c r="E22" i="62" s="1"/>
  <c r="L22" i="62"/>
  <c r="M22" i="62" s="1"/>
  <c r="K22" i="62"/>
  <c r="D22" i="62"/>
  <c r="T21" i="62"/>
  <c r="W21" i="62" s="1"/>
  <c r="M21" i="62"/>
  <c r="P21" i="62" s="1"/>
  <c r="K21" i="62"/>
  <c r="E21" i="62"/>
  <c r="D21" i="62"/>
  <c r="F21" i="62" s="1"/>
  <c r="T20" i="62"/>
  <c r="W20" i="62" s="1"/>
  <c r="M20" i="62"/>
  <c r="P20" i="62" s="1"/>
  <c r="K20" i="62"/>
  <c r="E20" i="62"/>
  <c r="D20" i="62"/>
  <c r="F20" i="62" s="1"/>
  <c r="T19" i="62"/>
  <c r="W19" i="62" s="1"/>
  <c r="M19" i="62"/>
  <c r="P19" i="62" s="1"/>
  <c r="K19" i="62"/>
  <c r="E19" i="62"/>
  <c r="D19" i="62"/>
  <c r="F19" i="62" s="1"/>
  <c r="T18" i="62"/>
  <c r="W18" i="62" s="1"/>
  <c r="M18" i="62"/>
  <c r="P18" i="62" s="1"/>
  <c r="K18" i="62"/>
  <c r="E18" i="62"/>
  <c r="D18" i="62"/>
  <c r="F18" i="62" s="1"/>
  <c r="T17" i="62"/>
  <c r="W17" i="62" s="1"/>
  <c r="M17" i="62"/>
  <c r="P17" i="62" s="1"/>
  <c r="K17" i="62"/>
  <c r="E17" i="62"/>
  <c r="D17" i="62"/>
  <c r="F17" i="62" s="1"/>
  <c r="T16" i="62"/>
  <c r="W16" i="62" s="1"/>
  <c r="M16" i="62"/>
  <c r="P16" i="62" s="1"/>
  <c r="K16" i="62"/>
  <c r="E16" i="62"/>
  <c r="D16" i="62"/>
  <c r="F16" i="62" s="1"/>
  <c r="T15" i="62"/>
  <c r="W15" i="62" s="1"/>
  <c r="M15" i="62"/>
  <c r="P15" i="62" s="1"/>
  <c r="K15" i="62"/>
  <c r="E15" i="62"/>
  <c r="D15" i="62"/>
  <c r="F15" i="62" s="1"/>
  <c r="T14" i="62"/>
  <c r="W14" i="62" s="1"/>
  <c r="M14" i="62"/>
  <c r="P14" i="62" s="1"/>
  <c r="K14" i="62"/>
  <c r="E14" i="62"/>
  <c r="D14" i="62"/>
  <c r="F14" i="62" s="1"/>
  <c r="T13" i="62"/>
  <c r="W13" i="62" s="1"/>
  <c r="M13" i="62"/>
  <c r="P13" i="62" s="1"/>
  <c r="K13" i="62"/>
  <c r="E13" i="62"/>
  <c r="D13" i="62"/>
  <c r="F13" i="62" s="1"/>
  <c r="T12" i="62"/>
  <c r="W12" i="62" s="1"/>
  <c r="M12" i="62"/>
  <c r="P12" i="62" s="1"/>
  <c r="K12" i="62"/>
  <c r="E12" i="62"/>
  <c r="D12" i="62"/>
  <c r="F12" i="62" s="1"/>
  <c r="T11" i="62"/>
  <c r="W11" i="62" s="1"/>
  <c r="M11" i="62"/>
  <c r="P11" i="62" s="1"/>
  <c r="K11" i="62"/>
  <c r="E11" i="62"/>
  <c r="D11" i="62"/>
  <c r="F11" i="62" s="1"/>
  <c r="T10" i="62"/>
  <c r="W10" i="62" s="1"/>
  <c r="M10" i="62"/>
  <c r="P10" i="62" s="1"/>
  <c r="K10" i="62"/>
  <c r="E10" i="62"/>
  <c r="D10" i="62"/>
  <c r="F10" i="62" s="1"/>
  <c r="W9" i="62"/>
  <c r="P9" i="62"/>
  <c r="T8" i="62"/>
  <c r="W8" i="62" s="1"/>
  <c r="M8" i="62"/>
  <c r="P8" i="62" s="1"/>
  <c r="K8" i="62"/>
  <c r="D8" i="62"/>
  <c r="T7" i="62"/>
  <c r="W7" i="62" s="1"/>
  <c r="M7" i="62"/>
  <c r="P7" i="62" s="1"/>
  <c r="K7" i="62"/>
  <c r="E7" i="62"/>
  <c r="D7" i="62"/>
  <c r="F7" i="62" s="1"/>
  <c r="T6" i="62"/>
  <c r="M6" i="62"/>
  <c r="P6" i="62" s="1"/>
  <c r="K6" i="62"/>
  <c r="E6" i="62"/>
  <c r="D6" i="62"/>
  <c r="F6" i="62" s="1"/>
  <c r="P22" i="62" l="1"/>
  <c r="W6" i="62"/>
  <c r="W5" i="62"/>
  <c r="F22" i="62"/>
  <c r="T22" i="31"/>
  <c r="W22" i="31" s="1"/>
  <c r="O22" i="31"/>
  <c r="E22" i="31" s="1"/>
  <c r="L22" i="31"/>
  <c r="M22" i="31" s="1"/>
  <c r="P22" i="31" s="1"/>
  <c r="K22" i="31"/>
  <c r="D22" i="31"/>
  <c r="T21" i="31"/>
  <c r="W21" i="31" s="1"/>
  <c r="P21" i="31"/>
  <c r="K21" i="31"/>
  <c r="E21" i="31"/>
  <c r="D21" i="31"/>
  <c r="F21" i="31" s="1"/>
  <c r="T20" i="31"/>
  <c r="W20" i="31" s="1"/>
  <c r="M20" i="31"/>
  <c r="P20" i="31" s="1"/>
  <c r="K20" i="31"/>
  <c r="E20" i="31"/>
  <c r="D20" i="31"/>
  <c r="F20" i="31" s="1"/>
  <c r="T19" i="31"/>
  <c r="W19" i="31" s="1"/>
  <c r="M19" i="31"/>
  <c r="P19" i="31" s="1"/>
  <c r="K19" i="31"/>
  <c r="E19" i="31"/>
  <c r="D19" i="31"/>
  <c r="F19" i="31" s="1"/>
  <c r="T18" i="31"/>
  <c r="W18" i="31" s="1"/>
  <c r="M18" i="31"/>
  <c r="P18" i="31" s="1"/>
  <c r="K18" i="31"/>
  <c r="E18" i="31"/>
  <c r="D18" i="31"/>
  <c r="F18" i="31" s="1"/>
  <c r="T17" i="31"/>
  <c r="W17" i="31" s="1"/>
  <c r="M17" i="31"/>
  <c r="P17" i="31" s="1"/>
  <c r="K17" i="31"/>
  <c r="E17" i="31"/>
  <c r="D17" i="31"/>
  <c r="F17" i="31" s="1"/>
  <c r="T16" i="31"/>
  <c r="W16" i="31" s="1"/>
  <c r="M16" i="31"/>
  <c r="P16" i="31" s="1"/>
  <c r="K16" i="31"/>
  <c r="E16" i="31"/>
  <c r="D16" i="31"/>
  <c r="F16" i="31" s="1"/>
  <c r="T15" i="31"/>
  <c r="W15" i="31" s="1"/>
  <c r="M15" i="31"/>
  <c r="P15" i="31" s="1"/>
  <c r="K15" i="31"/>
  <c r="E15" i="31"/>
  <c r="D15" i="31"/>
  <c r="F15" i="31" s="1"/>
  <c r="T14" i="31"/>
  <c r="W14" i="31" s="1"/>
  <c r="M14" i="31"/>
  <c r="P14" i="31" s="1"/>
  <c r="K14" i="31"/>
  <c r="E14" i="31"/>
  <c r="D14" i="31"/>
  <c r="F14" i="31" s="1"/>
  <c r="T13" i="31"/>
  <c r="W13" i="31" s="1"/>
  <c r="M13" i="31"/>
  <c r="P13" i="31" s="1"/>
  <c r="K13" i="31"/>
  <c r="E13" i="31"/>
  <c r="D13" i="31"/>
  <c r="F13" i="31" s="1"/>
  <c r="T12" i="31"/>
  <c r="W12" i="31" s="1"/>
  <c r="M12" i="31"/>
  <c r="P12" i="31" s="1"/>
  <c r="K12" i="31"/>
  <c r="E12" i="31"/>
  <c r="D12" i="31"/>
  <c r="F12" i="31" s="1"/>
  <c r="T11" i="31"/>
  <c r="W11" i="31" s="1"/>
  <c r="M11" i="31"/>
  <c r="P11" i="31" s="1"/>
  <c r="K11" i="31"/>
  <c r="E11" i="31"/>
  <c r="D11" i="31"/>
  <c r="F11" i="31" s="1"/>
  <c r="T10" i="31"/>
  <c r="W10" i="31" s="1"/>
  <c r="M10" i="31"/>
  <c r="P10" i="31" s="1"/>
  <c r="K10" i="31"/>
  <c r="E10" i="31"/>
  <c r="D10" i="31"/>
  <c r="F10" i="31" s="1"/>
  <c r="W9" i="31"/>
  <c r="P9" i="31"/>
  <c r="T8" i="31"/>
  <c r="W8" i="31" s="1"/>
  <c r="M8" i="31"/>
  <c r="P8" i="31" s="1"/>
  <c r="K8" i="31"/>
  <c r="E8" i="31"/>
  <c r="D8" i="31"/>
  <c r="F8" i="31" s="1"/>
  <c r="T7" i="31"/>
  <c r="W7" i="31" s="1"/>
  <c r="M7" i="31"/>
  <c r="P7" i="31" s="1"/>
  <c r="K7" i="31"/>
  <c r="E7" i="31"/>
  <c r="D7" i="31"/>
  <c r="F7" i="31" s="1"/>
  <c r="T6" i="31"/>
  <c r="W6" i="31" s="1"/>
  <c r="M6" i="31"/>
  <c r="P6" i="31" s="1"/>
  <c r="K6" i="31"/>
  <c r="E6" i="31"/>
  <c r="D6" i="31"/>
  <c r="F6" i="31" s="1"/>
  <c r="F22" i="31" l="1"/>
  <c r="T22" i="28" l="1"/>
  <c r="W22" i="28" s="1"/>
  <c r="M22" i="28"/>
  <c r="P22" i="28" s="1"/>
  <c r="K22" i="28"/>
  <c r="E22" i="28"/>
  <c r="C22" i="28"/>
  <c r="D22" i="28" s="1"/>
  <c r="F22" i="28" s="1"/>
  <c r="T21" i="28"/>
  <c r="W21" i="28" s="1"/>
  <c r="M21" i="28"/>
  <c r="P21" i="28" s="1"/>
  <c r="K21" i="28"/>
  <c r="E21" i="28"/>
  <c r="D21" i="28"/>
  <c r="F21" i="28" s="1"/>
  <c r="T20" i="28"/>
  <c r="W20" i="28" s="1"/>
  <c r="M20" i="28"/>
  <c r="P20" i="28" s="1"/>
  <c r="K20" i="28"/>
  <c r="E20" i="28"/>
  <c r="D20" i="28"/>
  <c r="F20" i="28" s="1"/>
  <c r="T19" i="28"/>
  <c r="W19" i="28" s="1"/>
  <c r="M19" i="28"/>
  <c r="P19" i="28" s="1"/>
  <c r="K19" i="28"/>
  <c r="E19" i="28"/>
  <c r="D19" i="28"/>
  <c r="F19" i="28" s="1"/>
  <c r="T18" i="28"/>
  <c r="W18" i="28" s="1"/>
  <c r="M18" i="28"/>
  <c r="P18" i="28" s="1"/>
  <c r="K18" i="28"/>
  <c r="E18" i="28"/>
  <c r="D18" i="28"/>
  <c r="F18" i="28" s="1"/>
  <c r="T17" i="28"/>
  <c r="W17" i="28" s="1"/>
  <c r="M17" i="28"/>
  <c r="P17" i="28" s="1"/>
  <c r="K17" i="28"/>
  <c r="E17" i="28"/>
  <c r="D17" i="28"/>
  <c r="F17" i="28" s="1"/>
  <c r="T16" i="28"/>
  <c r="W16" i="28" s="1"/>
  <c r="M16" i="28"/>
  <c r="P16" i="28" s="1"/>
  <c r="K16" i="28"/>
  <c r="E16" i="28"/>
  <c r="D16" i="28"/>
  <c r="F16" i="28" s="1"/>
  <c r="T15" i="28"/>
  <c r="W15" i="28" s="1"/>
  <c r="M15" i="28"/>
  <c r="P15" i="28" s="1"/>
  <c r="K15" i="28"/>
  <c r="E15" i="28"/>
  <c r="D15" i="28"/>
  <c r="F15" i="28" s="1"/>
  <c r="T14" i="28"/>
  <c r="W14" i="28" s="1"/>
  <c r="M14" i="28"/>
  <c r="P14" i="28" s="1"/>
  <c r="K14" i="28"/>
  <c r="E14" i="28"/>
  <c r="D14" i="28"/>
  <c r="F14" i="28" s="1"/>
  <c r="T13" i="28"/>
  <c r="W13" i="28" s="1"/>
  <c r="M13" i="28"/>
  <c r="P13" i="28" s="1"/>
  <c r="K13" i="28"/>
  <c r="E13" i="28"/>
  <c r="D13" i="28"/>
  <c r="F13" i="28" s="1"/>
  <c r="T12" i="28"/>
  <c r="W12" i="28" s="1"/>
  <c r="M12" i="28"/>
  <c r="P12" i="28" s="1"/>
  <c r="K12" i="28"/>
  <c r="E12" i="28"/>
  <c r="D12" i="28"/>
  <c r="F12" i="28" s="1"/>
  <c r="T11" i="28"/>
  <c r="W11" i="28" s="1"/>
  <c r="M11" i="28"/>
  <c r="P11" i="28" s="1"/>
  <c r="K11" i="28"/>
  <c r="E11" i="28"/>
  <c r="D11" i="28"/>
  <c r="F11" i="28" s="1"/>
  <c r="T10" i="28"/>
  <c r="W10" i="28" s="1"/>
  <c r="M10" i="28"/>
  <c r="P10" i="28" s="1"/>
  <c r="K10" i="28"/>
  <c r="E10" i="28"/>
  <c r="D10" i="28"/>
  <c r="F10" i="28" s="1"/>
  <c r="W9" i="28"/>
  <c r="P9" i="28"/>
  <c r="T8" i="28"/>
  <c r="W8" i="28" s="1"/>
  <c r="M8" i="28"/>
  <c r="P8" i="28" s="1"/>
  <c r="K8" i="28"/>
  <c r="E8" i="28"/>
  <c r="D8" i="28"/>
  <c r="F8" i="28" s="1"/>
  <c r="T7" i="28"/>
  <c r="W7" i="28" s="1"/>
  <c r="M7" i="28"/>
  <c r="P7" i="28" s="1"/>
  <c r="K7" i="28"/>
  <c r="E7" i="28"/>
  <c r="C7" i="28"/>
  <c r="D7" i="28" s="1"/>
  <c r="F7" i="28" s="1"/>
  <c r="T6" i="28"/>
  <c r="W6" i="28" s="1"/>
  <c r="M6" i="28"/>
  <c r="P6" i="28" s="1"/>
  <c r="K6" i="28"/>
  <c r="E6" i="28"/>
  <c r="D6" i="28"/>
  <c r="F6" i="28" s="1"/>
  <c r="T22" i="25" l="1"/>
  <c r="W22" i="25" s="1"/>
  <c r="O22" i="25"/>
  <c r="E22" i="25" s="1"/>
  <c r="L22" i="25"/>
  <c r="M22" i="25" s="1"/>
  <c r="P22" i="25" s="1"/>
  <c r="K22" i="25"/>
  <c r="D22" i="25"/>
  <c r="T21" i="25"/>
  <c r="W21" i="25" s="1"/>
  <c r="M21" i="25"/>
  <c r="P21" i="25" s="1"/>
  <c r="K21" i="25"/>
  <c r="E21" i="25"/>
  <c r="D21" i="25"/>
  <c r="F21" i="25" s="1"/>
  <c r="T20" i="25"/>
  <c r="W20" i="25" s="1"/>
  <c r="M20" i="25"/>
  <c r="P20" i="25" s="1"/>
  <c r="K20" i="25"/>
  <c r="E20" i="25"/>
  <c r="D20" i="25"/>
  <c r="F20" i="25" s="1"/>
  <c r="T19" i="25"/>
  <c r="W19" i="25" s="1"/>
  <c r="M19" i="25"/>
  <c r="P19" i="25" s="1"/>
  <c r="K19" i="25"/>
  <c r="E19" i="25"/>
  <c r="D19" i="25"/>
  <c r="F19" i="25" s="1"/>
  <c r="T18" i="25"/>
  <c r="W18" i="25" s="1"/>
  <c r="M18" i="25"/>
  <c r="P18" i="25" s="1"/>
  <c r="K18" i="25"/>
  <c r="E18" i="25"/>
  <c r="D18" i="25"/>
  <c r="F18" i="25" s="1"/>
  <c r="T17" i="25"/>
  <c r="W17" i="25" s="1"/>
  <c r="M17" i="25"/>
  <c r="P17" i="25" s="1"/>
  <c r="K17" i="25"/>
  <c r="E17" i="25"/>
  <c r="D17" i="25"/>
  <c r="F17" i="25" s="1"/>
  <c r="T16" i="25"/>
  <c r="W16" i="25" s="1"/>
  <c r="M16" i="25"/>
  <c r="P16" i="25" s="1"/>
  <c r="K16" i="25"/>
  <c r="E16" i="25"/>
  <c r="D16" i="25"/>
  <c r="F16" i="25" s="1"/>
  <c r="T15" i="25"/>
  <c r="W15" i="25" s="1"/>
  <c r="M15" i="25"/>
  <c r="P15" i="25" s="1"/>
  <c r="K15" i="25"/>
  <c r="E15" i="25"/>
  <c r="D15" i="25"/>
  <c r="F15" i="25" s="1"/>
  <c r="T14" i="25"/>
  <c r="W14" i="25" s="1"/>
  <c r="M14" i="25"/>
  <c r="P14" i="25" s="1"/>
  <c r="K14" i="25"/>
  <c r="E14" i="25"/>
  <c r="D14" i="25"/>
  <c r="F14" i="25" s="1"/>
  <c r="T13" i="25"/>
  <c r="W13" i="25" s="1"/>
  <c r="M13" i="25"/>
  <c r="P13" i="25" s="1"/>
  <c r="K13" i="25"/>
  <c r="E13" i="25"/>
  <c r="D13" i="25"/>
  <c r="F13" i="25" s="1"/>
  <c r="T12" i="25"/>
  <c r="W12" i="25" s="1"/>
  <c r="M12" i="25"/>
  <c r="P12" i="25" s="1"/>
  <c r="K12" i="25"/>
  <c r="E12" i="25"/>
  <c r="D12" i="25"/>
  <c r="F12" i="25" s="1"/>
  <c r="T11" i="25"/>
  <c r="W11" i="25" s="1"/>
  <c r="M11" i="25"/>
  <c r="P11" i="25" s="1"/>
  <c r="K11" i="25"/>
  <c r="E11" i="25"/>
  <c r="D11" i="25"/>
  <c r="F11" i="25" s="1"/>
  <c r="T10" i="25"/>
  <c r="W10" i="25" s="1"/>
  <c r="M10" i="25"/>
  <c r="P10" i="25" s="1"/>
  <c r="K10" i="25"/>
  <c r="E10" i="25"/>
  <c r="D10" i="25"/>
  <c r="F10" i="25" s="1"/>
  <c r="W9" i="25"/>
  <c r="P9" i="25"/>
  <c r="T8" i="25"/>
  <c r="W8" i="25" s="1"/>
  <c r="M8" i="25"/>
  <c r="P8" i="25" s="1"/>
  <c r="K8" i="25"/>
  <c r="E8" i="25"/>
  <c r="D8" i="25"/>
  <c r="F8" i="25" s="1"/>
  <c r="T7" i="25"/>
  <c r="W7" i="25" s="1"/>
  <c r="M7" i="25"/>
  <c r="P7" i="25" s="1"/>
  <c r="K7" i="25"/>
  <c r="E7" i="25"/>
  <c r="D7" i="25"/>
  <c r="F7" i="25" s="1"/>
  <c r="T6" i="25"/>
  <c r="W6" i="25" s="1"/>
  <c r="M6" i="25"/>
  <c r="P6" i="25" s="1"/>
  <c r="K6" i="25"/>
  <c r="E6" i="25"/>
  <c r="D6" i="25"/>
  <c r="F6" i="25" s="1"/>
  <c r="F22" i="25" l="1"/>
  <c r="T7" i="66" l="1"/>
  <c r="W7" i="66" s="1"/>
  <c r="M7" i="66"/>
  <c r="P7" i="66" s="1"/>
  <c r="K7" i="66"/>
  <c r="E7" i="66"/>
  <c r="D7" i="66"/>
  <c r="F7" i="66" s="1"/>
  <c r="T6" i="66"/>
  <c r="W6" i="66" s="1"/>
  <c r="M6" i="66"/>
  <c r="P6" i="66" s="1"/>
  <c r="K6" i="66"/>
  <c r="E6" i="66"/>
  <c r="D6" i="66"/>
  <c r="F6" i="66" s="1"/>
  <c r="T22" i="19" l="1"/>
  <c r="W22" i="19" s="1"/>
  <c r="L22" i="19"/>
  <c r="M22" i="19" s="1"/>
  <c r="P22" i="19" s="1"/>
  <c r="K22" i="19"/>
  <c r="E22" i="19"/>
  <c r="D22" i="19"/>
  <c r="F22" i="19" s="1"/>
  <c r="T21" i="19"/>
  <c r="W21" i="19" s="1"/>
  <c r="M21" i="19"/>
  <c r="P21" i="19" s="1"/>
  <c r="E21" i="19"/>
  <c r="D21" i="19"/>
  <c r="F21" i="19" s="1"/>
  <c r="T20" i="19"/>
  <c r="W20" i="19" s="1"/>
  <c r="M20" i="19"/>
  <c r="P20" i="19" s="1"/>
  <c r="K20" i="19"/>
  <c r="E20" i="19"/>
  <c r="D20" i="19"/>
  <c r="F20" i="19" s="1"/>
  <c r="T19" i="19"/>
  <c r="W19" i="19" s="1"/>
  <c r="M19" i="19"/>
  <c r="P19" i="19" s="1"/>
  <c r="K19" i="19"/>
  <c r="E19" i="19"/>
  <c r="D19" i="19"/>
  <c r="F19" i="19" s="1"/>
  <c r="T18" i="19"/>
  <c r="W18" i="19" s="1"/>
  <c r="P18" i="19"/>
  <c r="F18" i="19"/>
  <c r="E18" i="19"/>
  <c r="T17" i="19"/>
  <c r="W17" i="19" s="1"/>
  <c r="M17" i="19"/>
  <c r="P17" i="19" s="1"/>
  <c r="K17" i="19"/>
  <c r="E17" i="19"/>
  <c r="D17" i="19"/>
  <c r="F17" i="19" s="1"/>
  <c r="T16" i="19"/>
  <c r="W16" i="19" s="1"/>
  <c r="M16" i="19"/>
  <c r="P16" i="19" s="1"/>
  <c r="K16" i="19"/>
  <c r="E16" i="19"/>
  <c r="D16" i="19"/>
  <c r="F16" i="19" s="1"/>
  <c r="T15" i="19"/>
  <c r="W15" i="19" s="1"/>
  <c r="M15" i="19"/>
  <c r="P15" i="19" s="1"/>
  <c r="K15" i="19"/>
  <c r="E15" i="19"/>
  <c r="D15" i="19"/>
  <c r="F15" i="19" s="1"/>
  <c r="T14" i="19"/>
  <c r="W14" i="19" s="1"/>
  <c r="M14" i="19"/>
  <c r="P14" i="19" s="1"/>
  <c r="K14" i="19"/>
  <c r="E14" i="19"/>
  <c r="D14" i="19"/>
  <c r="F14" i="19" s="1"/>
  <c r="T13" i="19"/>
  <c r="W13" i="19" s="1"/>
  <c r="M13" i="19"/>
  <c r="P13" i="19" s="1"/>
  <c r="K13" i="19"/>
  <c r="E13" i="19"/>
  <c r="D13" i="19"/>
  <c r="F13" i="19" s="1"/>
  <c r="T12" i="19"/>
  <c r="W12" i="19" s="1"/>
  <c r="M12" i="19"/>
  <c r="P12" i="19" s="1"/>
  <c r="K12" i="19"/>
  <c r="E12" i="19"/>
  <c r="D12" i="19"/>
  <c r="F12" i="19" s="1"/>
  <c r="T11" i="19"/>
  <c r="W11" i="19" s="1"/>
  <c r="M11" i="19"/>
  <c r="P11" i="19" s="1"/>
  <c r="K11" i="19"/>
  <c r="E11" i="19"/>
  <c r="D11" i="19"/>
  <c r="F11" i="19" s="1"/>
  <c r="T10" i="19"/>
  <c r="W10" i="19" s="1"/>
  <c r="P10" i="19"/>
  <c r="E10" i="19"/>
  <c r="C10" i="19"/>
  <c r="D10" i="19" s="1"/>
  <c r="F10" i="19" s="1"/>
  <c r="T9" i="19"/>
  <c r="W9" i="19" s="1"/>
  <c r="P9" i="19"/>
  <c r="E9" i="19"/>
  <c r="D9" i="19"/>
  <c r="F9" i="19" s="1"/>
  <c r="T8" i="19"/>
  <c r="W8" i="19" s="1"/>
  <c r="M8" i="19"/>
  <c r="P8" i="19" s="1"/>
  <c r="K8" i="19"/>
  <c r="E8" i="19"/>
  <c r="D8" i="19"/>
  <c r="F8" i="19" s="1"/>
  <c r="T7" i="19"/>
  <c r="W7" i="19" s="1"/>
  <c r="M7" i="19"/>
  <c r="P7" i="19" s="1"/>
  <c r="K7" i="19"/>
  <c r="E7" i="19"/>
  <c r="D7" i="19"/>
  <c r="F7" i="19" s="1"/>
  <c r="T6" i="19"/>
  <c r="W6" i="19" s="1"/>
  <c r="M6" i="19"/>
  <c r="P6" i="19" s="1"/>
  <c r="K6" i="19"/>
  <c r="E6" i="19"/>
  <c r="D6" i="19"/>
  <c r="F6" i="19" s="1"/>
  <c r="T22" i="18" l="1"/>
  <c r="W22" i="18" s="1"/>
  <c r="O22" i="18"/>
  <c r="E22" i="18" s="1"/>
  <c r="L22" i="18"/>
  <c r="M22" i="18" s="1"/>
  <c r="K22" i="18"/>
  <c r="D22" i="18"/>
  <c r="T21" i="18"/>
  <c r="W21" i="18" s="1"/>
  <c r="M21" i="18"/>
  <c r="P21" i="18" s="1"/>
  <c r="K21" i="18"/>
  <c r="E21" i="18"/>
  <c r="D21" i="18"/>
  <c r="F21" i="18" s="1"/>
  <c r="T20" i="18"/>
  <c r="W20" i="18" s="1"/>
  <c r="M20" i="18"/>
  <c r="P20" i="18" s="1"/>
  <c r="K20" i="18"/>
  <c r="E20" i="18"/>
  <c r="D20" i="18"/>
  <c r="F20" i="18" s="1"/>
  <c r="T19" i="18"/>
  <c r="W19" i="18" s="1"/>
  <c r="M19" i="18"/>
  <c r="P19" i="18" s="1"/>
  <c r="K19" i="18"/>
  <c r="E19" i="18"/>
  <c r="D19" i="18"/>
  <c r="F19" i="18" s="1"/>
  <c r="T18" i="18"/>
  <c r="W18" i="18" s="1"/>
  <c r="M18" i="18"/>
  <c r="P18" i="18" s="1"/>
  <c r="K18" i="18"/>
  <c r="E18" i="18"/>
  <c r="D18" i="18"/>
  <c r="F18" i="18" s="1"/>
  <c r="T17" i="18"/>
  <c r="W17" i="18" s="1"/>
  <c r="M17" i="18"/>
  <c r="P17" i="18" s="1"/>
  <c r="K17" i="18"/>
  <c r="E17" i="18"/>
  <c r="D17" i="18"/>
  <c r="F17" i="18" s="1"/>
  <c r="T16" i="18"/>
  <c r="W16" i="18" s="1"/>
  <c r="M16" i="18"/>
  <c r="P16" i="18" s="1"/>
  <c r="K16" i="18"/>
  <c r="E16" i="18"/>
  <c r="D16" i="18"/>
  <c r="F16" i="18" s="1"/>
  <c r="T15" i="18"/>
  <c r="W15" i="18" s="1"/>
  <c r="M15" i="18"/>
  <c r="P15" i="18" s="1"/>
  <c r="K15" i="18"/>
  <c r="E15" i="18"/>
  <c r="D15" i="18"/>
  <c r="F15" i="18" s="1"/>
  <c r="T14" i="18"/>
  <c r="W14" i="18" s="1"/>
  <c r="M14" i="18"/>
  <c r="P14" i="18" s="1"/>
  <c r="K14" i="18"/>
  <c r="E14" i="18"/>
  <c r="D14" i="18"/>
  <c r="F14" i="18" s="1"/>
  <c r="T13" i="18"/>
  <c r="W13" i="18" s="1"/>
  <c r="M13" i="18"/>
  <c r="P13" i="18" s="1"/>
  <c r="K13" i="18"/>
  <c r="E13" i="18"/>
  <c r="D13" i="18"/>
  <c r="F13" i="18" s="1"/>
  <c r="T12" i="18"/>
  <c r="W12" i="18" s="1"/>
  <c r="M12" i="18"/>
  <c r="P12" i="18" s="1"/>
  <c r="K12" i="18"/>
  <c r="E12" i="18"/>
  <c r="D12" i="18"/>
  <c r="F12" i="18" s="1"/>
  <c r="T11" i="18"/>
  <c r="W11" i="18" s="1"/>
  <c r="M11" i="18"/>
  <c r="P11" i="18" s="1"/>
  <c r="K11" i="18"/>
  <c r="E11" i="18"/>
  <c r="D11" i="18"/>
  <c r="F11" i="18" s="1"/>
  <c r="T10" i="18"/>
  <c r="W10" i="18" s="1"/>
  <c r="M10" i="18"/>
  <c r="P10" i="18" s="1"/>
  <c r="K10" i="18"/>
  <c r="E10" i="18"/>
  <c r="D10" i="18"/>
  <c r="F10" i="18" s="1"/>
  <c r="W9" i="18"/>
  <c r="P9" i="18"/>
  <c r="T8" i="18"/>
  <c r="W8" i="18" s="1"/>
  <c r="M8" i="18"/>
  <c r="P8" i="18" s="1"/>
  <c r="K8" i="18"/>
  <c r="E8" i="18"/>
  <c r="D8" i="18"/>
  <c r="F8" i="18" s="1"/>
  <c r="T7" i="18"/>
  <c r="W7" i="18" s="1"/>
  <c r="M7" i="18"/>
  <c r="P7" i="18" s="1"/>
  <c r="K7" i="18"/>
  <c r="E7" i="18"/>
  <c r="D7" i="18"/>
  <c r="F7" i="18" s="1"/>
  <c r="T6" i="18"/>
  <c r="W6" i="18" s="1"/>
  <c r="M6" i="18"/>
  <c r="P6" i="18" s="1"/>
  <c r="K6" i="18"/>
  <c r="E6" i="18"/>
  <c r="D6" i="18"/>
  <c r="F6" i="18" s="1"/>
  <c r="P22" i="18" l="1"/>
  <c r="F22" i="18"/>
  <c r="T22" i="16"/>
  <c r="W22" i="16" s="1"/>
  <c r="O22" i="16"/>
  <c r="E22" i="16" s="1"/>
  <c r="L22" i="16"/>
  <c r="M22" i="16" s="1"/>
  <c r="K22" i="16"/>
  <c r="C22" i="16"/>
  <c r="D22" i="16" s="1"/>
  <c r="T21" i="16"/>
  <c r="W21" i="16" s="1"/>
  <c r="L21" i="16"/>
  <c r="M21" i="16" s="1"/>
  <c r="P21" i="16" s="1"/>
  <c r="K21" i="16"/>
  <c r="E21" i="16"/>
  <c r="C21" i="16"/>
  <c r="D21" i="16" s="1"/>
  <c r="F21" i="16" s="1"/>
  <c r="T20" i="16"/>
  <c r="W20" i="16" s="1"/>
  <c r="M20" i="16"/>
  <c r="P20" i="16" s="1"/>
  <c r="K20" i="16"/>
  <c r="E20" i="16"/>
  <c r="D20" i="16"/>
  <c r="F20" i="16" s="1"/>
  <c r="T19" i="16"/>
  <c r="W19" i="16" s="1"/>
  <c r="M19" i="16"/>
  <c r="P19" i="16" s="1"/>
  <c r="K19" i="16"/>
  <c r="E19" i="16"/>
  <c r="D19" i="16"/>
  <c r="F19" i="16" s="1"/>
  <c r="T18" i="16"/>
  <c r="W18" i="16" s="1"/>
  <c r="P18" i="16"/>
  <c r="M18" i="16"/>
  <c r="K18" i="16"/>
  <c r="E18" i="16"/>
  <c r="D18" i="16"/>
  <c r="F18" i="16" s="1"/>
  <c r="T17" i="16"/>
  <c r="W17" i="16" s="1"/>
  <c r="M17" i="16"/>
  <c r="P17" i="16" s="1"/>
  <c r="K17" i="16"/>
  <c r="E17" i="16"/>
  <c r="D17" i="16"/>
  <c r="F17" i="16" s="1"/>
  <c r="T16" i="16"/>
  <c r="W16" i="16" s="1"/>
  <c r="M16" i="16"/>
  <c r="P16" i="16" s="1"/>
  <c r="K16" i="16"/>
  <c r="E16" i="16"/>
  <c r="D16" i="16"/>
  <c r="F16" i="16" s="1"/>
  <c r="T15" i="16"/>
  <c r="W15" i="16" s="1"/>
  <c r="M15" i="16"/>
  <c r="P15" i="16" s="1"/>
  <c r="K15" i="16"/>
  <c r="E15" i="16"/>
  <c r="D15" i="16"/>
  <c r="F15" i="16" s="1"/>
  <c r="T14" i="16"/>
  <c r="W14" i="16" s="1"/>
  <c r="M14" i="16"/>
  <c r="P14" i="16" s="1"/>
  <c r="K14" i="16"/>
  <c r="E14" i="16"/>
  <c r="D14" i="16"/>
  <c r="F14" i="16" s="1"/>
  <c r="T13" i="16"/>
  <c r="W13" i="16" s="1"/>
  <c r="M13" i="16"/>
  <c r="P13" i="16" s="1"/>
  <c r="E13" i="16"/>
  <c r="D13" i="16"/>
  <c r="F13" i="16" s="1"/>
  <c r="T12" i="16"/>
  <c r="W12" i="16" s="1"/>
  <c r="M12" i="16"/>
  <c r="P12" i="16" s="1"/>
  <c r="K12" i="16"/>
  <c r="E12" i="16"/>
  <c r="D12" i="16"/>
  <c r="F12" i="16" s="1"/>
  <c r="T11" i="16"/>
  <c r="W11" i="16" s="1"/>
  <c r="M11" i="16"/>
  <c r="P11" i="16" s="1"/>
  <c r="K11" i="16"/>
  <c r="E11" i="16"/>
  <c r="D11" i="16"/>
  <c r="F11" i="16" s="1"/>
  <c r="T10" i="16"/>
  <c r="W10" i="16" s="1"/>
  <c r="M10" i="16"/>
  <c r="P10" i="16" s="1"/>
  <c r="K10" i="16"/>
  <c r="E10" i="16"/>
  <c r="D10" i="16"/>
  <c r="F10" i="16" s="1"/>
  <c r="W9" i="16"/>
  <c r="T8" i="16"/>
  <c r="W8" i="16" s="1"/>
  <c r="M8" i="16"/>
  <c r="P8" i="16" s="1"/>
  <c r="K8" i="16"/>
  <c r="E8" i="16"/>
  <c r="D8" i="16"/>
  <c r="F8" i="16" s="1"/>
  <c r="T7" i="16"/>
  <c r="W7" i="16" s="1"/>
  <c r="M7" i="16"/>
  <c r="P7" i="16" s="1"/>
  <c r="K7" i="16"/>
  <c r="E7" i="16"/>
  <c r="D7" i="16"/>
  <c r="F7" i="16" s="1"/>
  <c r="T6" i="16"/>
  <c r="W6" i="16" s="1"/>
  <c r="M6" i="16"/>
  <c r="P6" i="16" s="1"/>
  <c r="K6" i="16"/>
  <c r="E6" i="16"/>
  <c r="D6" i="16"/>
  <c r="F6" i="16" s="1"/>
  <c r="P22" i="16" l="1"/>
  <c r="F22" i="16"/>
  <c r="T22" i="12"/>
  <c r="W22" i="12" s="1"/>
  <c r="O22" i="12"/>
  <c r="E22" i="12" s="1"/>
  <c r="L22" i="12"/>
  <c r="M22" i="12" s="1"/>
  <c r="P22" i="12" s="1"/>
  <c r="K22" i="12"/>
  <c r="D22" i="12"/>
  <c r="T21" i="12"/>
  <c r="W21" i="12" s="1"/>
  <c r="M21" i="12"/>
  <c r="P21" i="12" s="1"/>
  <c r="K21" i="12"/>
  <c r="E21" i="12"/>
  <c r="D21" i="12"/>
  <c r="F21" i="12" s="1"/>
  <c r="T20" i="12"/>
  <c r="W20" i="12" s="1"/>
  <c r="M20" i="12"/>
  <c r="P20" i="12" s="1"/>
  <c r="K20" i="12"/>
  <c r="E20" i="12"/>
  <c r="D20" i="12"/>
  <c r="F20" i="12" s="1"/>
  <c r="T19" i="12"/>
  <c r="W19" i="12" s="1"/>
  <c r="M19" i="12"/>
  <c r="P19" i="12" s="1"/>
  <c r="K19" i="12"/>
  <c r="E19" i="12"/>
  <c r="D19" i="12"/>
  <c r="F19" i="12" s="1"/>
  <c r="T18" i="12"/>
  <c r="W18" i="12" s="1"/>
  <c r="M18" i="12"/>
  <c r="P18" i="12" s="1"/>
  <c r="K18" i="12"/>
  <c r="E18" i="12"/>
  <c r="D18" i="12"/>
  <c r="F18" i="12" s="1"/>
  <c r="T17" i="12"/>
  <c r="W17" i="12" s="1"/>
  <c r="M17" i="12"/>
  <c r="P17" i="12" s="1"/>
  <c r="K17" i="12"/>
  <c r="E17" i="12"/>
  <c r="D17" i="12"/>
  <c r="F17" i="12" s="1"/>
  <c r="T16" i="12"/>
  <c r="W16" i="12" s="1"/>
  <c r="M16" i="12"/>
  <c r="P16" i="12" s="1"/>
  <c r="K16" i="12"/>
  <c r="E16" i="12"/>
  <c r="D16" i="12"/>
  <c r="F16" i="12" s="1"/>
  <c r="T15" i="12"/>
  <c r="W15" i="12" s="1"/>
  <c r="M15" i="12"/>
  <c r="P15" i="12" s="1"/>
  <c r="K15" i="12"/>
  <c r="E15" i="12"/>
  <c r="D15" i="12"/>
  <c r="F15" i="12" s="1"/>
  <c r="T14" i="12"/>
  <c r="W14" i="12" s="1"/>
  <c r="M14" i="12"/>
  <c r="P14" i="12" s="1"/>
  <c r="K14" i="12"/>
  <c r="E14" i="12"/>
  <c r="D14" i="12"/>
  <c r="F14" i="12" s="1"/>
  <c r="T13" i="12"/>
  <c r="W13" i="12" s="1"/>
  <c r="M13" i="12"/>
  <c r="P13" i="12" s="1"/>
  <c r="K13" i="12"/>
  <c r="E13" i="12"/>
  <c r="D13" i="12"/>
  <c r="F13" i="12" s="1"/>
  <c r="T12" i="12"/>
  <c r="W12" i="12" s="1"/>
  <c r="M12" i="12"/>
  <c r="P12" i="12" s="1"/>
  <c r="K12" i="12"/>
  <c r="E12" i="12"/>
  <c r="D12" i="12"/>
  <c r="F12" i="12" s="1"/>
  <c r="T11" i="12"/>
  <c r="W11" i="12" s="1"/>
  <c r="M11" i="12"/>
  <c r="P11" i="12" s="1"/>
  <c r="K11" i="12"/>
  <c r="E11" i="12"/>
  <c r="D11" i="12"/>
  <c r="F11" i="12" s="1"/>
  <c r="T10" i="12"/>
  <c r="W10" i="12" s="1"/>
  <c r="M10" i="12"/>
  <c r="P10" i="12" s="1"/>
  <c r="K10" i="12"/>
  <c r="E10" i="12"/>
  <c r="D10" i="12"/>
  <c r="F10" i="12" s="1"/>
  <c r="W9" i="12"/>
  <c r="M9" i="12"/>
  <c r="P9" i="12" s="1"/>
  <c r="K9" i="12"/>
  <c r="E9" i="12"/>
  <c r="D9" i="12"/>
  <c r="F9" i="12" s="1"/>
  <c r="U8" i="12"/>
  <c r="T8" i="12" s="1"/>
  <c r="W8" i="12" s="1"/>
  <c r="S8" i="12"/>
  <c r="M8" i="12"/>
  <c r="P8" i="12" s="1"/>
  <c r="J8" i="12"/>
  <c r="K8" i="12" s="1"/>
  <c r="E8" i="12"/>
  <c r="D8" i="12"/>
  <c r="F8" i="12" s="1"/>
  <c r="T7" i="12"/>
  <c r="W7" i="12" s="1"/>
  <c r="L7" i="12"/>
  <c r="M7" i="12" s="1"/>
  <c r="P7" i="12" s="1"/>
  <c r="K7" i="12"/>
  <c r="E7" i="12"/>
  <c r="D7" i="12"/>
  <c r="F7" i="12" s="1"/>
  <c r="T6" i="12"/>
  <c r="W6" i="12" s="1"/>
  <c r="L6" i="12"/>
  <c r="M6" i="12" s="1"/>
  <c r="P6" i="12" s="1"/>
  <c r="K6" i="12"/>
  <c r="E6" i="12"/>
  <c r="D6" i="12"/>
  <c r="F6" i="12" s="1"/>
  <c r="F22" i="12" l="1"/>
  <c r="T22" i="60"/>
  <c r="W22" i="60" s="1"/>
  <c r="O22" i="60"/>
  <c r="E22" i="60" s="1"/>
  <c r="L22" i="60"/>
  <c r="M22" i="60" s="1"/>
  <c r="P22" i="60" s="1"/>
  <c r="K22" i="60"/>
  <c r="D22" i="60"/>
  <c r="T21" i="60"/>
  <c r="W21" i="60" s="1"/>
  <c r="M21" i="60"/>
  <c r="P21" i="60" s="1"/>
  <c r="K21" i="60"/>
  <c r="E21" i="60"/>
  <c r="D21" i="60"/>
  <c r="F21" i="60" s="1"/>
  <c r="T20" i="60"/>
  <c r="W20" i="60" s="1"/>
  <c r="M20" i="60"/>
  <c r="P20" i="60" s="1"/>
  <c r="K20" i="60"/>
  <c r="E20" i="60"/>
  <c r="D20" i="60"/>
  <c r="F20" i="60" s="1"/>
  <c r="T19" i="60"/>
  <c r="W19" i="60" s="1"/>
  <c r="M19" i="60"/>
  <c r="P19" i="60" s="1"/>
  <c r="K19" i="60"/>
  <c r="E19" i="60"/>
  <c r="D19" i="60"/>
  <c r="F19" i="60" s="1"/>
  <c r="T18" i="60"/>
  <c r="W18" i="60" s="1"/>
  <c r="M18" i="60"/>
  <c r="P18" i="60" s="1"/>
  <c r="K18" i="60"/>
  <c r="E18" i="60"/>
  <c r="D18" i="60"/>
  <c r="F18" i="60" s="1"/>
  <c r="T17" i="60"/>
  <c r="W17" i="60" s="1"/>
  <c r="M17" i="60"/>
  <c r="P17" i="60" s="1"/>
  <c r="K17" i="60"/>
  <c r="E17" i="60"/>
  <c r="D17" i="60"/>
  <c r="F17" i="60" s="1"/>
  <c r="T16" i="60"/>
  <c r="W16" i="60" s="1"/>
  <c r="M16" i="60"/>
  <c r="P16" i="60" s="1"/>
  <c r="K16" i="60"/>
  <c r="E16" i="60"/>
  <c r="D16" i="60"/>
  <c r="F16" i="60" s="1"/>
  <c r="T15" i="60"/>
  <c r="W15" i="60" s="1"/>
  <c r="M15" i="60"/>
  <c r="P15" i="60" s="1"/>
  <c r="K15" i="60"/>
  <c r="E15" i="60"/>
  <c r="D15" i="60"/>
  <c r="F15" i="60" s="1"/>
  <c r="T14" i="60"/>
  <c r="W14" i="60" s="1"/>
  <c r="M14" i="60"/>
  <c r="P14" i="60" s="1"/>
  <c r="K14" i="60"/>
  <c r="E14" i="60"/>
  <c r="D14" i="60"/>
  <c r="F14" i="60" s="1"/>
  <c r="T13" i="60"/>
  <c r="W13" i="60" s="1"/>
  <c r="M13" i="60"/>
  <c r="P13" i="60" s="1"/>
  <c r="K13" i="60"/>
  <c r="E13" i="60"/>
  <c r="D13" i="60"/>
  <c r="F13" i="60" s="1"/>
  <c r="T12" i="60"/>
  <c r="W12" i="60" s="1"/>
  <c r="M12" i="60"/>
  <c r="P12" i="60" s="1"/>
  <c r="K12" i="60"/>
  <c r="E12" i="60"/>
  <c r="D12" i="60"/>
  <c r="F12" i="60" s="1"/>
  <c r="T11" i="60"/>
  <c r="W11" i="60" s="1"/>
  <c r="M11" i="60"/>
  <c r="P11" i="60" s="1"/>
  <c r="K11" i="60"/>
  <c r="E11" i="60"/>
  <c r="D11" i="60"/>
  <c r="F11" i="60" s="1"/>
  <c r="T10" i="60"/>
  <c r="W10" i="60" s="1"/>
  <c r="M10" i="60"/>
  <c r="P10" i="60" s="1"/>
  <c r="K10" i="60"/>
  <c r="E10" i="60"/>
  <c r="D10" i="60"/>
  <c r="F10" i="60" s="1"/>
  <c r="T9" i="60"/>
  <c r="V9" i="60" s="1"/>
  <c r="W9" i="60" s="1"/>
  <c r="S9" i="60"/>
  <c r="P9" i="60"/>
  <c r="T8" i="60"/>
  <c r="W8" i="60" s="1"/>
  <c r="M8" i="60"/>
  <c r="P8" i="60" s="1"/>
  <c r="K8" i="60"/>
  <c r="E8" i="60"/>
  <c r="D8" i="60"/>
  <c r="F8" i="60" s="1"/>
  <c r="T7" i="60"/>
  <c r="W7" i="60" s="1"/>
  <c r="M7" i="60"/>
  <c r="P7" i="60" s="1"/>
  <c r="K7" i="60"/>
  <c r="E7" i="60"/>
  <c r="D7" i="60"/>
  <c r="F7" i="60" s="1"/>
  <c r="T6" i="60"/>
  <c r="W6" i="60" s="1"/>
  <c r="M6" i="60"/>
  <c r="P6" i="60" s="1"/>
  <c r="K6" i="60"/>
  <c r="E6" i="60"/>
  <c r="D6" i="60"/>
  <c r="F6" i="60" s="1"/>
  <c r="F22" i="60" l="1"/>
  <c r="W22" i="8"/>
  <c r="P22" i="8"/>
  <c r="W21" i="8"/>
  <c r="P21" i="8"/>
  <c r="W20" i="8"/>
  <c r="P20" i="8"/>
  <c r="W19" i="8"/>
  <c r="P19" i="8"/>
  <c r="W18" i="8"/>
  <c r="P18" i="8"/>
  <c r="W17" i="8"/>
  <c r="P17" i="8"/>
  <c r="W16" i="8"/>
  <c r="P16" i="8"/>
  <c r="W15" i="8"/>
  <c r="P15" i="8"/>
  <c r="W14" i="8"/>
  <c r="P14" i="8"/>
  <c r="W13" i="8"/>
  <c r="P13" i="8"/>
  <c r="W12" i="8"/>
  <c r="P12" i="8"/>
  <c r="W11" i="8"/>
  <c r="P11" i="8"/>
  <c r="W10" i="8"/>
  <c r="P10" i="8"/>
  <c r="W9" i="8"/>
  <c r="P9" i="8"/>
  <c r="V8" i="8"/>
  <c r="T8" i="8" s="1"/>
  <c r="S8" i="8"/>
  <c r="M8" i="8"/>
  <c r="P8" i="8" s="1"/>
  <c r="K8" i="8"/>
  <c r="E8" i="8"/>
  <c r="D8" i="8"/>
  <c r="F8" i="8" s="1"/>
  <c r="V7" i="8"/>
  <c r="T7" i="8" s="1"/>
  <c r="M7" i="8"/>
  <c r="P7" i="8" s="1"/>
  <c r="K7" i="8"/>
  <c r="E7" i="8"/>
  <c r="D7" i="8"/>
  <c r="F7" i="8" s="1"/>
  <c r="T6" i="8"/>
  <c r="W6" i="8" s="1"/>
  <c r="M6" i="8"/>
  <c r="P6" i="8" s="1"/>
  <c r="K6" i="8"/>
  <c r="E6" i="8"/>
  <c r="D6" i="8"/>
  <c r="F6" i="8" s="1"/>
  <c r="W8" i="8" l="1"/>
  <c r="W7" i="8"/>
  <c r="T22" i="5" l="1"/>
  <c r="W22" i="5" s="1"/>
  <c r="O22" i="5"/>
  <c r="E22" i="5" s="1"/>
  <c r="L22" i="5"/>
  <c r="M22" i="5" s="1"/>
  <c r="K22" i="5"/>
  <c r="D22" i="5"/>
  <c r="T21" i="5"/>
  <c r="W21" i="5" s="1"/>
  <c r="M21" i="5"/>
  <c r="P21" i="5" s="1"/>
  <c r="K21" i="5"/>
  <c r="E21" i="5"/>
  <c r="D21" i="5"/>
  <c r="F21" i="5" s="1"/>
  <c r="T20" i="5"/>
  <c r="W20" i="5" s="1"/>
  <c r="M20" i="5"/>
  <c r="P20" i="5" s="1"/>
  <c r="K20" i="5"/>
  <c r="E20" i="5"/>
  <c r="D20" i="5"/>
  <c r="F20" i="5" s="1"/>
  <c r="T19" i="5"/>
  <c r="W19" i="5" s="1"/>
  <c r="M19" i="5"/>
  <c r="P19" i="5" s="1"/>
  <c r="K19" i="5"/>
  <c r="E19" i="5"/>
  <c r="D19" i="5"/>
  <c r="F19" i="5" s="1"/>
  <c r="T18" i="5"/>
  <c r="W18" i="5" s="1"/>
  <c r="M18" i="5"/>
  <c r="P18" i="5" s="1"/>
  <c r="K18" i="5"/>
  <c r="E18" i="5"/>
  <c r="D18" i="5"/>
  <c r="F18" i="5" s="1"/>
  <c r="T17" i="5"/>
  <c r="W17" i="5" s="1"/>
  <c r="M17" i="5"/>
  <c r="P17" i="5" s="1"/>
  <c r="K17" i="5"/>
  <c r="E17" i="5"/>
  <c r="D17" i="5"/>
  <c r="F17" i="5" s="1"/>
  <c r="T16" i="5"/>
  <c r="W16" i="5" s="1"/>
  <c r="M16" i="5"/>
  <c r="P16" i="5" s="1"/>
  <c r="K16" i="5"/>
  <c r="E16" i="5"/>
  <c r="D16" i="5"/>
  <c r="F16" i="5" s="1"/>
  <c r="T15" i="5"/>
  <c r="W15" i="5" s="1"/>
  <c r="M15" i="5"/>
  <c r="P15" i="5" s="1"/>
  <c r="K15" i="5"/>
  <c r="E15" i="5"/>
  <c r="D15" i="5"/>
  <c r="F15" i="5" s="1"/>
  <c r="T14" i="5"/>
  <c r="W14" i="5" s="1"/>
  <c r="M14" i="5"/>
  <c r="P14" i="5" s="1"/>
  <c r="K14" i="5"/>
  <c r="E14" i="5"/>
  <c r="D14" i="5"/>
  <c r="F14" i="5" s="1"/>
  <c r="T13" i="5"/>
  <c r="W13" i="5" s="1"/>
  <c r="M13" i="5"/>
  <c r="P13" i="5" s="1"/>
  <c r="K13" i="5"/>
  <c r="E13" i="5"/>
  <c r="D13" i="5"/>
  <c r="F13" i="5" s="1"/>
  <c r="T12" i="5"/>
  <c r="W12" i="5" s="1"/>
  <c r="M12" i="5"/>
  <c r="P12" i="5" s="1"/>
  <c r="K12" i="5"/>
  <c r="E12" i="5"/>
  <c r="D12" i="5"/>
  <c r="F12" i="5" s="1"/>
  <c r="T11" i="5"/>
  <c r="W11" i="5" s="1"/>
  <c r="M11" i="5"/>
  <c r="P11" i="5" s="1"/>
  <c r="K11" i="5"/>
  <c r="E11" i="5"/>
  <c r="D11" i="5"/>
  <c r="F11" i="5" s="1"/>
  <c r="W10" i="5"/>
  <c r="P10" i="5"/>
  <c r="W9" i="5"/>
  <c r="P9" i="5"/>
  <c r="T8" i="5"/>
  <c r="W8" i="5" s="1"/>
  <c r="M8" i="5"/>
  <c r="P8" i="5" s="1"/>
  <c r="K8" i="5"/>
  <c r="E8" i="5"/>
  <c r="D8" i="5"/>
  <c r="F8" i="5" s="1"/>
  <c r="T7" i="5"/>
  <c r="W7" i="5" s="1"/>
  <c r="M7" i="5"/>
  <c r="P7" i="5" s="1"/>
  <c r="K7" i="5"/>
  <c r="E7" i="5"/>
  <c r="D7" i="5"/>
  <c r="F7" i="5" s="1"/>
  <c r="T6" i="5"/>
  <c r="W6" i="5" s="1"/>
  <c r="M6" i="5"/>
  <c r="P6" i="5" s="1"/>
  <c r="K6" i="5"/>
  <c r="E6" i="5"/>
  <c r="D6" i="5"/>
  <c r="F6" i="5" s="1"/>
  <c r="P22" i="5" l="1"/>
  <c r="F22" i="5"/>
  <c r="T22" i="58"/>
  <c r="W22" i="58" s="1"/>
  <c r="L22" i="58"/>
  <c r="M22" i="58" s="1"/>
  <c r="P22" i="58" s="1"/>
  <c r="K22" i="58"/>
  <c r="E22" i="58"/>
  <c r="D22" i="58"/>
  <c r="F22" i="58" s="1"/>
  <c r="T21" i="58"/>
  <c r="W21" i="58" s="1"/>
  <c r="M21" i="58"/>
  <c r="P21" i="58" s="1"/>
  <c r="K21" i="58"/>
  <c r="E21" i="58"/>
  <c r="D21" i="58"/>
  <c r="F21" i="58" s="1"/>
  <c r="T20" i="58"/>
  <c r="W20" i="58" s="1"/>
  <c r="M20" i="58"/>
  <c r="P20" i="58" s="1"/>
  <c r="K20" i="58"/>
  <c r="E20" i="58"/>
  <c r="D20" i="58"/>
  <c r="F20" i="58" s="1"/>
  <c r="T19" i="58"/>
  <c r="W19" i="58" s="1"/>
  <c r="M19" i="58"/>
  <c r="P19" i="58" s="1"/>
  <c r="K19" i="58"/>
  <c r="E19" i="58"/>
  <c r="D19" i="58"/>
  <c r="F19" i="58" s="1"/>
  <c r="T18" i="58"/>
  <c r="W18" i="58" s="1"/>
  <c r="M18" i="58"/>
  <c r="P18" i="58" s="1"/>
  <c r="K18" i="58"/>
  <c r="E18" i="58"/>
  <c r="D18" i="58"/>
  <c r="F18" i="58" s="1"/>
  <c r="T17" i="58"/>
  <c r="W17" i="58" s="1"/>
  <c r="M17" i="58"/>
  <c r="P17" i="58" s="1"/>
  <c r="K17" i="58"/>
  <c r="E17" i="58"/>
  <c r="D17" i="58"/>
  <c r="F17" i="58" s="1"/>
  <c r="T16" i="58"/>
  <c r="W16" i="58" s="1"/>
  <c r="M16" i="58"/>
  <c r="P16" i="58" s="1"/>
  <c r="K16" i="58"/>
  <c r="E16" i="58"/>
  <c r="D16" i="58"/>
  <c r="F16" i="58" s="1"/>
  <c r="T15" i="58"/>
  <c r="W15" i="58" s="1"/>
  <c r="M15" i="58"/>
  <c r="P15" i="58" s="1"/>
  <c r="K15" i="58"/>
  <c r="E15" i="58"/>
  <c r="D15" i="58"/>
  <c r="F15" i="58" s="1"/>
  <c r="T14" i="58"/>
  <c r="W14" i="58" s="1"/>
  <c r="M14" i="58"/>
  <c r="P14" i="58" s="1"/>
  <c r="K14" i="58"/>
  <c r="E14" i="58"/>
  <c r="D14" i="58"/>
  <c r="F14" i="58" s="1"/>
  <c r="T13" i="58"/>
  <c r="W13" i="58" s="1"/>
  <c r="M13" i="58"/>
  <c r="P13" i="58" s="1"/>
  <c r="K13" i="58"/>
  <c r="E13" i="58"/>
  <c r="D13" i="58"/>
  <c r="F13" i="58" s="1"/>
  <c r="T12" i="58"/>
  <c r="W12" i="58" s="1"/>
  <c r="M12" i="58"/>
  <c r="P12" i="58" s="1"/>
  <c r="K12" i="58"/>
  <c r="E12" i="58"/>
  <c r="D12" i="58"/>
  <c r="F12" i="58" s="1"/>
  <c r="T11" i="58"/>
  <c r="W11" i="58" s="1"/>
  <c r="M11" i="58"/>
  <c r="P11" i="58" s="1"/>
  <c r="K11" i="58"/>
  <c r="E11" i="58"/>
  <c r="D11" i="58"/>
  <c r="F11" i="58" s="1"/>
  <c r="T10" i="58"/>
  <c r="W10" i="58" s="1"/>
  <c r="M10" i="58"/>
  <c r="P10" i="58" s="1"/>
  <c r="K10" i="58"/>
  <c r="E10" i="58"/>
  <c r="D10" i="58"/>
  <c r="F10" i="58" s="1"/>
  <c r="W9" i="58"/>
  <c r="M9" i="58"/>
  <c r="P9" i="58" s="1"/>
  <c r="F9" i="58"/>
  <c r="E9" i="58"/>
  <c r="T8" i="58"/>
  <c r="W8" i="58" s="1"/>
  <c r="L8" i="58"/>
  <c r="M8" i="58" s="1"/>
  <c r="P8" i="58" s="1"/>
  <c r="K8" i="58"/>
  <c r="E8" i="58"/>
  <c r="D8" i="58"/>
  <c r="F8" i="58" s="1"/>
  <c r="T7" i="58"/>
  <c r="W7" i="58" s="1"/>
  <c r="L7" i="58"/>
  <c r="M7" i="58" s="1"/>
  <c r="P7" i="58" s="1"/>
  <c r="K7" i="58"/>
  <c r="E7" i="58"/>
  <c r="D7" i="58"/>
  <c r="F7" i="58" s="1"/>
  <c r="T22" i="54" l="1"/>
  <c r="W22" i="54" s="1"/>
  <c r="O22" i="54"/>
  <c r="E22" i="54" s="1"/>
  <c r="L22" i="54"/>
  <c r="M22" i="54" s="1"/>
  <c r="K22" i="54"/>
  <c r="D22" i="54"/>
  <c r="T21" i="54"/>
  <c r="W21" i="54" s="1"/>
  <c r="M21" i="54"/>
  <c r="P21" i="54" s="1"/>
  <c r="K21" i="54"/>
  <c r="E21" i="54"/>
  <c r="D21" i="54"/>
  <c r="F21" i="54" s="1"/>
  <c r="T20" i="54"/>
  <c r="W20" i="54" s="1"/>
  <c r="M20" i="54"/>
  <c r="P20" i="54" s="1"/>
  <c r="K20" i="54"/>
  <c r="E20" i="54"/>
  <c r="D20" i="54"/>
  <c r="F20" i="54" s="1"/>
  <c r="T19" i="54"/>
  <c r="W19" i="54" s="1"/>
  <c r="M19" i="54"/>
  <c r="P19" i="54" s="1"/>
  <c r="K19" i="54"/>
  <c r="E19" i="54"/>
  <c r="D19" i="54"/>
  <c r="F19" i="54" s="1"/>
  <c r="T18" i="54"/>
  <c r="W18" i="54" s="1"/>
  <c r="M18" i="54"/>
  <c r="P18" i="54" s="1"/>
  <c r="K18" i="54"/>
  <c r="E18" i="54"/>
  <c r="D18" i="54"/>
  <c r="F18" i="54" s="1"/>
  <c r="T17" i="54"/>
  <c r="W17" i="54" s="1"/>
  <c r="M17" i="54"/>
  <c r="P17" i="54" s="1"/>
  <c r="K17" i="54"/>
  <c r="E17" i="54"/>
  <c r="D17" i="54"/>
  <c r="F17" i="54" s="1"/>
  <c r="T16" i="54"/>
  <c r="W16" i="54" s="1"/>
  <c r="M16" i="54"/>
  <c r="P16" i="54" s="1"/>
  <c r="K16" i="54"/>
  <c r="E16" i="54"/>
  <c r="D16" i="54"/>
  <c r="F16" i="54" s="1"/>
  <c r="T15" i="54"/>
  <c r="W15" i="54" s="1"/>
  <c r="M15" i="54"/>
  <c r="P15" i="54" s="1"/>
  <c r="K15" i="54"/>
  <c r="E15" i="54"/>
  <c r="D15" i="54"/>
  <c r="F15" i="54" s="1"/>
  <c r="T14" i="54"/>
  <c r="W14" i="54" s="1"/>
  <c r="M14" i="54"/>
  <c r="P14" i="54" s="1"/>
  <c r="K14" i="54"/>
  <c r="E14" i="54"/>
  <c r="D14" i="54"/>
  <c r="F14" i="54" s="1"/>
  <c r="T13" i="54"/>
  <c r="W13" i="54" s="1"/>
  <c r="M13" i="54"/>
  <c r="P13" i="54" s="1"/>
  <c r="K13" i="54"/>
  <c r="E13" i="54"/>
  <c r="D13" i="54"/>
  <c r="F13" i="54" s="1"/>
  <c r="T12" i="54"/>
  <c r="W12" i="54" s="1"/>
  <c r="M12" i="54"/>
  <c r="P12" i="54" s="1"/>
  <c r="K12" i="54"/>
  <c r="E12" i="54"/>
  <c r="D12" i="54"/>
  <c r="F12" i="54" s="1"/>
  <c r="T11" i="54"/>
  <c r="W11" i="54" s="1"/>
  <c r="M11" i="54"/>
  <c r="P11" i="54" s="1"/>
  <c r="K11" i="54"/>
  <c r="E11" i="54"/>
  <c r="D11" i="54"/>
  <c r="F11" i="54" s="1"/>
  <c r="T10" i="54"/>
  <c r="W10" i="54" s="1"/>
  <c r="M10" i="54"/>
  <c r="P10" i="54" s="1"/>
  <c r="K10" i="54"/>
  <c r="E10" i="54"/>
  <c r="D10" i="54"/>
  <c r="F10" i="54" s="1"/>
  <c r="W9" i="54"/>
  <c r="P9" i="54"/>
  <c r="D9" i="54"/>
  <c r="T8" i="54"/>
  <c r="W8" i="54" s="1"/>
  <c r="M8" i="54"/>
  <c r="P8" i="54" s="1"/>
  <c r="K8" i="54"/>
  <c r="E8" i="54"/>
  <c r="D8" i="54"/>
  <c r="F8" i="54" s="1"/>
  <c r="T7" i="54"/>
  <c r="W7" i="54" s="1"/>
  <c r="M7" i="54"/>
  <c r="P7" i="54" s="1"/>
  <c r="K7" i="54"/>
  <c r="E7" i="54"/>
  <c r="D7" i="54"/>
  <c r="F7" i="54" s="1"/>
  <c r="T6" i="54"/>
  <c r="W6" i="54" s="1"/>
  <c r="M6" i="54"/>
  <c r="P6" i="54" s="1"/>
  <c r="K6" i="54"/>
  <c r="E6" i="54"/>
  <c r="D6" i="54"/>
  <c r="F6" i="54" s="1"/>
  <c r="P22" i="54" l="1"/>
  <c r="F22" i="54"/>
  <c r="T22" i="64"/>
  <c r="W22" i="64" s="1"/>
  <c r="O22" i="64"/>
  <c r="E22" i="64" s="1"/>
  <c r="L22" i="64"/>
  <c r="M22" i="64" s="1"/>
  <c r="P22" i="64" s="1"/>
  <c r="K22" i="64"/>
  <c r="C22" i="64"/>
  <c r="D22" i="64" s="1"/>
  <c r="T21" i="64"/>
  <c r="W21" i="64" s="1"/>
  <c r="M21" i="64"/>
  <c r="P21" i="64" s="1"/>
  <c r="K21" i="64"/>
  <c r="E21" i="64"/>
  <c r="D21" i="64"/>
  <c r="F21" i="64" s="1"/>
  <c r="W20" i="64"/>
  <c r="T20" i="64"/>
  <c r="M20" i="64"/>
  <c r="P20" i="64" s="1"/>
  <c r="K20" i="64"/>
  <c r="E20" i="64"/>
  <c r="D20" i="64"/>
  <c r="F20" i="64" s="1"/>
  <c r="T19" i="64"/>
  <c r="W19" i="64" s="1"/>
  <c r="M19" i="64"/>
  <c r="P19" i="64" s="1"/>
  <c r="K19" i="64"/>
  <c r="E19" i="64"/>
  <c r="D19" i="64"/>
  <c r="F19" i="64" s="1"/>
  <c r="T18" i="64"/>
  <c r="W18" i="64" s="1"/>
  <c r="M18" i="64"/>
  <c r="P18" i="64" s="1"/>
  <c r="K18" i="64"/>
  <c r="E18" i="64"/>
  <c r="D18" i="64"/>
  <c r="F18" i="64" s="1"/>
  <c r="T17" i="64"/>
  <c r="W17" i="64" s="1"/>
  <c r="M17" i="64"/>
  <c r="P17" i="64" s="1"/>
  <c r="K17" i="64"/>
  <c r="E17" i="64"/>
  <c r="D17" i="64"/>
  <c r="F17" i="64" s="1"/>
  <c r="T16" i="64"/>
  <c r="W16" i="64" s="1"/>
  <c r="M16" i="64"/>
  <c r="P16" i="64" s="1"/>
  <c r="K16" i="64"/>
  <c r="E16" i="64"/>
  <c r="D16" i="64"/>
  <c r="F16" i="64" s="1"/>
  <c r="T15" i="64"/>
  <c r="W15" i="64" s="1"/>
  <c r="M15" i="64"/>
  <c r="P15" i="64" s="1"/>
  <c r="K15" i="64"/>
  <c r="E15" i="64"/>
  <c r="D15" i="64"/>
  <c r="F15" i="64" s="1"/>
  <c r="T14" i="64"/>
  <c r="W14" i="64" s="1"/>
  <c r="M14" i="64"/>
  <c r="P14" i="64" s="1"/>
  <c r="K14" i="64"/>
  <c r="E14" i="64"/>
  <c r="D14" i="64"/>
  <c r="F14" i="64" s="1"/>
  <c r="T13" i="64"/>
  <c r="W13" i="64" s="1"/>
  <c r="M13" i="64"/>
  <c r="P13" i="64" s="1"/>
  <c r="K13" i="64"/>
  <c r="E13" i="64"/>
  <c r="D13" i="64"/>
  <c r="F13" i="64" s="1"/>
  <c r="T12" i="64"/>
  <c r="W12" i="64" s="1"/>
  <c r="M12" i="64"/>
  <c r="P12" i="64" s="1"/>
  <c r="K12" i="64"/>
  <c r="E12" i="64"/>
  <c r="D12" i="64"/>
  <c r="F12" i="64" s="1"/>
  <c r="T11" i="64"/>
  <c r="W11" i="64" s="1"/>
  <c r="M11" i="64"/>
  <c r="P11" i="64" s="1"/>
  <c r="K11" i="64"/>
  <c r="E11" i="64"/>
  <c r="D11" i="64"/>
  <c r="F11" i="64" s="1"/>
  <c r="T10" i="64"/>
  <c r="W10" i="64" s="1"/>
  <c r="M10" i="64"/>
  <c r="P10" i="64" s="1"/>
  <c r="K10" i="64"/>
  <c r="E10" i="64"/>
  <c r="D10" i="64"/>
  <c r="F10" i="64" s="1"/>
  <c r="W9" i="64"/>
  <c r="P9" i="64"/>
  <c r="T8" i="64"/>
  <c r="W8" i="64" s="1"/>
  <c r="M8" i="64"/>
  <c r="P8" i="64" s="1"/>
  <c r="K8" i="64"/>
  <c r="E8" i="64"/>
  <c r="D8" i="64"/>
  <c r="F8" i="64" s="1"/>
  <c r="T7" i="64"/>
  <c r="W7" i="64" s="1"/>
  <c r="M7" i="64"/>
  <c r="P7" i="64" s="1"/>
  <c r="K7" i="64"/>
  <c r="E7" i="64"/>
  <c r="D7" i="64"/>
  <c r="F7" i="64" s="1"/>
  <c r="T6" i="64"/>
  <c r="W6" i="64" s="1"/>
  <c r="M6" i="64"/>
  <c r="P6" i="64" s="1"/>
  <c r="K6" i="64"/>
  <c r="E6" i="64"/>
  <c r="D6" i="64"/>
  <c r="F6" i="64" s="1"/>
  <c r="F22" i="64" l="1"/>
  <c r="T22" i="49"/>
  <c r="W22" i="49" s="1"/>
  <c r="O22" i="49"/>
  <c r="E22" i="49" s="1"/>
  <c r="L22" i="49"/>
  <c r="M22" i="49" s="1"/>
  <c r="K22" i="49"/>
  <c r="D22" i="49"/>
  <c r="T21" i="49"/>
  <c r="W21" i="49" s="1"/>
  <c r="M21" i="49"/>
  <c r="P21" i="49" s="1"/>
  <c r="K21" i="49"/>
  <c r="E21" i="49"/>
  <c r="D21" i="49"/>
  <c r="F21" i="49" s="1"/>
  <c r="T20" i="49"/>
  <c r="W20" i="49" s="1"/>
  <c r="M20" i="49"/>
  <c r="P20" i="49" s="1"/>
  <c r="K20" i="49"/>
  <c r="E20" i="49"/>
  <c r="D20" i="49"/>
  <c r="F20" i="49" s="1"/>
  <c r="T19" i="49"/>
  <c r="W19" i="49" s="1"/>
  <c r="M19" i="49"/>
  <c r="P19" i="49" s="1"/>
  <c r="K19" i="49"/>
  <c r="E19" i="49"/>
  <c r="D19" i="49"/>
  <c r="F19" i="49" s="1"/>
  <c r="T18" i="49"/>
  <c r="W18" i="49" s="1"/>
  <c r="M18" i="49"/>
  <c r="P18" i="49" s="1"/>
  <c r="K18" i="49"/>
  <c r="E18" i="49"/>
  <c r="D18" i="49"/>
  <c r="F18" i="49" s="1"/>
  <c r="T17" i="49"/>
  <c r="W17" i="49" s="1"/>
  <c r="M17" i="49"/>
  <c r="P17" i="49" s="1"/>
  <c r="K17" i="49"/>
  <c r="E17" i="49"/>
  <c r="D17" i="49"/>
  <c r="F17" i="49" s="1"/>
  <c r="T16" i="49"/>
  <c r="W16" i="49" s="1"/>
  <c r="M16" i="49"/>
  <c r="P16" i="49" s="1"/>
  <c r="K16" i="49"/>
  <c r="E16" i="49"/>
  <c r="D16" i="49"/>
  <c r="F16" i="49" s="1"/>
  <c r="T15" i="49"/>
  <c r="W15" i="49" s="1"/>
  <c r="M15" i="49"/>
  <c r="P15" i="49" s="1"/>
  <c r="K15" i="49"/>
  <c r="E15" i="49"/>
  <c r="D15" i="49"/>
  <c r="F15" i="49" s="1"/>
  <c r="T14" i="49"/>
  <c r="W14" i="49" s="1"/>
  <c r="M14" i="49"/>
  <c r="P14" i="49" s="1"/>
  <c r="K14" i="49"/>
  <c r="E14" i="49"/>
  <c r="D14" i="49"/>
  <c r="F14" i="49" s="1"/>
  <c r="T13" i="49"/>
  <c r="W13" i="49" s="1"/>
  <c r="M13" i="49"/>
  <c r="P13" i="49" s="1"/>
  <c r="K13" i="49"/>
  <c r="E13" i="49"/>
  <c r="D13" i="49"/>
  <c r="F13" i="49" s="1"/>
  <c r="T12" i="49"/>
  <c r="W12" i="49" s="1"/>
  <c r="M12" i="49"/>
  <c r="P12" i="49" s="1"/>
  <c r="K12" i="49"/>
  <c r="E12" i="49"/>
  <c r="D12" i="49"/>
  <c r="F12" i="49" s="1"/>
  <c r="T11" i="49"/>
  <c r="W11" i="49" s="1"/>
  <c r="M11" i="49"/>
  <c r="P11" i="49" s="1"/>
  <c r="K11" i="49"/>
  <c r="E11" i="49"/>
  <c r="D11" i="49"/>
  <c r="F11" i="49" s="1"/>
  <c r="T10" i="49"/>
  <c r="W10" i="49" s="1"/>
  <c r="M10" i="49"/>
  <c r="P10" i="49" s="1"/>
  <c r="K10" i="49"/>
  <c r="E10" i="49"/>
  <c r="D10" i="49"/>
  <c r="F10" i="49" s="1"/>
  <c r="W9" i="49"/>
  <c r="P9" i="49"/>
  <c r="T8" i="49"/>
  <c r="W8" i="49" s="1"/>
  <c r="M8" i="49"/>
  <c r="P8" i="49" s="1"/>
  <c r="K8" i="49"/>
  <c r="E8" i="49"/>
  <c r="D8" i="49"/>
  <c r="F8" i="49" s="1"/>
  <c r="T7" i="49"/>
  <c r="W7" i="49" s="1"/>
  <c r="M7" i="49"/>
  <c r="P7" i="49" s="1"/>
  <c r="K7" i="49"/>
  <c r="E7" i="49"/>
  <c r="D7" i="49"/>
  <c r="F7" i="49" s="1"/>
  <c r="T6" i="49"/>
  <c r="W6" i="49" s="1"/>
  <c r="M6" i="49"/>
  <c r="P6" i="49" s="1"/>
  <c r="K6" i="49"/>
  <c r="E6" i="49"/>
  <c r="D6" i="49"/>
  <c r="F6" i="49" s="1"/>
  <c r="P22" i="49" l="1"/>
  <c r="F22" i="49"/>
  <c r="T22" i="47"/>
  <c r="W22" i="47" s="1"/>
  <c r="L22" i="47"/>
  <c r="M22" i="47" s="1"/>
  <c r="P22" i="47" s="1"/>
  <c r="K22" i="47"/>
  <c r="E22" i="47"/>
  <c r="D22" i="47"/>
  <c r="F22" i="47" s="1"/>
  <c r="T21" i="47"/>
  <c r="W21" i="47" s="1"/>
  <c r="M21" i="47"/>
  <c r="P21" i="47" s="1"/>
  <c r="K21" i="47"/>
  <c r="E21" i="47"/>
  <c r="C21" i="47"/>
  <c r="D21" i="47" s="1"/>
  <c r="F21" i="47" s="1"/>
  <c r="T20" i="47"/>
  <c r="W20" i="47" s="1"/>
  <c r="M20" i="47"/>
  <c r="P20" i="47" s="1"/>
  <c r="K20" i="47"/>
  <c r="E20" i="47"/>
  <c r="D20" i="47"/>
  <c r="F20" i="47" s="1"/>
  <c r="T19" i="47"/>
  <c r="W19" i="47" s="1"/>
  <c r="M19" i="47"/>
  <c r="P19" i="47" s="1"/>
  <c r="K19" i="47"/>
  <c r="E19" i="47"/>
  <c r="D19" i="47"/>
  <c r="F19" i="47" s="1"/>
  <c r="T18" i="47"/>
  <c r="W18" i="47" s="1"/>
  <c r="M18" i="47"/>
  <c r="P18" i="47" s="1"/>
  <c r="K18" i="47"/>
  <c r="E18" i="47"/>
  <c r="D18" i="47"/>
  <c r="F18" i="47" s="1"/>
  <c r="T17" i="47"/>
  <c r="W17" i="47" s="1"/>
  <c r="M17" i="47"/>
  <c r="P17" i="47" s="1"/>
  <c r="K17" i="47"/>
  <c r="E17" i="47"/>
  <c r="D17" i="47"/>
  <c r="F17" i="47" s="1"/>
  <c r="T16" i="47"/>
  <c r="W16" i="47" s="1"/>
  <c r="M16" i="47"/>
  <c r="P16" i="47" s="1"/>
  <c r="K16" i="47"/>
  <c r="E16" i="47"/>
  <c r="D16" i="47"/>
  <c r="F16" i="47" s="1"/>
  <c r="T15" i="47"/>
  <c r="W15" i="47" s="1"/>
  <c r="M15" i="47"/>
  <c r="P15" i="47" s="1"/>
  <c r="K15" i="47"/>
  <c r="E15" i="47"/>
  <c r="D15" i="47"/>
  <c r="F15" i="47" s="1"/>
  <c r="T14" i="47"/>
  <c r="W14" i="47" s="1"/>
  <c r="M14" i="47"/>
  <c r="P14" i="47" s="1"/>
  <c r="K14" i="47"/>
  <c r="E14" i="47"/>
  <c r="D14" i="47"/>
  <c r="F14" i="47" s="1"/>
  <c r="T13" i="47"/>
  <c r="W13" i="47" s="1"/>
  <c r="M13" i="47"/>
  <c r="P13" i="47" s="1"/>
  <c r="K13" i="47"/>
  <c r="E13" i="47"/>
  <c r="D13" i="47"/>
  <c r="F13" i="47" s="1"/>
  <c r="T12" i="47"/>
  <c r="W12" i="47" s="1"/>
  <c r="M12" i="47"/>
  <c r="P12" i="47" s="1"/>
  <c r="K12" i="47"/>
  <c r="E12" i="47"/>
  <c r="D12" i="47"/>
  <c r="F12" i="47" s="1"/>
  <c r="T11" i="47"/>
  <c r="W11" i="47" s="1"/>
  <c r="M11" i="47"/>
  <c r="P11" i="47" s="1"/>
  <c r="K11" i="47"/>
  <c r="E11" i="47"/>
  <c r="D11" i="47"/>
  <c r="F11" i="47" s="1"/>
  <c r="T10" i="47"/>
  <c r="W10" i="47" s="1"/>
  <c r="M10" i="47"/>
  <c r="P10" i="47" s="1"/>
  <c r="K10" i="47"/>
  <c r="E10" i="47"/>
  <c r="D10" i="47"/>
  <c r="F10" i="47" s="1"/>
  <c r="W9" i="47"/>
  <c r="P9" i="47"/>
  <c r="T8" i="47"/>
  <c r="W8" i="47" s="1"/>
  <c r="M8" i="47"/>
  <c r="P8" i="47" s="1"/>
  <c r="K8" i="47"/>
  <c r="E8" i="47"/>
  <c r="D8" i="47"/>
  <c r="F8" i="47" s="1"/>
  <c r="T7" i="47"/>
  <c r="W7" i="47" s="1"/>
  <c r="M7" i="47"/>
  <c r="P7" i="47" s="1"/>
  <c r="K7" i="47"/>
  <c r="H7" i="47"/>
  <c r="E7" i="47"/>
  <c r="C7" i="47"/>
  <c r="D7" i="47" s="1"/>
  <c r="F7" i="47" s="1"/>
  <c r="T6" i="47"/>
  <c r="W6" i="47" s="1"/>
  <c r="M6" i="47"/>
  <c r="P6" i="47" s="1"/>
  <c r="K6" i="47"/>
  <c r="E6" i="47"/>
  <c r="D6" i="47"/>
  <c r="F6" i="47" s="1"/>
  <c r="T19" i="46" l="1"/>
  <c r="W19" i="46" s="1"/>
  <c r="M19" i="46"/>
  <c r="K19" i="46"/>
  <c r="E19" i="46"/>
  <c r="D19" i="46"/>
  <c r="F19" i="46" s="1"/>
  <c r="T18" i="46"/>
  <c r="W18" i="46" s="1"/>
  <c r="M18" i="46"/>
  <c r="P18" i="46" s="1"/>
  <c r="K18" i="46"/>
  <c r="E18" i="46"/>
  <c r="D18" i="46"/>
  <c r="F18" i="46" s="1"/>
  <c r="T17" i="46"/>
  <c r="W17" i="46" s="1"/>
  <c r="M17" i="46"/>
  <c r="P17" i="46" s="1"/>
  <c r="K17" i="46"/>
  <c r="E17" i="46"/>
  <c r="D17" i="46"/>
  <c r="F17" i="46" s="1"/>
  <c r="T16" i="46"/>
  <c r="W16" i="46" s="1"/>
  <c r="M16" i="46"/>
  <c r="P16" i="46" s="1"/>
  <c r="K16" i="46"/>
  <c r="E16" i="46"/>
  <c r="D16" i="46"/>
  <c r="F16" i="46" s="1"/>
  <c r="T15" i="46"/>
  <c r="W15" i="46" s="1"/>
  <c r="M15" i="46"/>
  <c r="P15" i="46" s="1"/>
  <c r="K15" i="46"/>
  <c r="E15" i="46"/>
  <c r="D15" i="46"/>
  <c r="F15" i="46" s="1"/>
  <c r="T14" i="46"/>
  <c r="W14" i="46" s="1"/>
  <c r="M14" i="46"/>
  <c r="P14" i="46" s="1"/>
  <c r="K14" i="46"/>
  <c r="E14" i="46"/>
  <c r="D14" i="46"/>
  <c r="F14" i="46" s="1"/>
  <c r="T13" i="46"/>
  <c r="W13" i="46" s="1"/>
  <c r="M13" i="46"/>
  <c r="P13" i="46" s="1"/>
  <c r="K13" i="46"/>
  <c r="E13" i="46"/>
  <c r="D13" i="46"/>
  <c r="F13" i="46" s="1"/>
  <c r="T12" i="46"/>
  <c r="W12" i="46" s="1"/>
  <c r="M12" i="46"/>
  <c r="P12" i="46" s="1"/>
  <c r="K12" i="46"/>
  <c r="E12" i="46"/>
  <c r="D12" i="46"/>
  <c r="F12" i="46" s="1"/>
  <c r="T11" i="46"/>
  <c r="W11" i="46" s="1"/>
  <c r="M11" i="46"/>
  <c r="P11" i="46" s="1"/>
  <c r="K11" i="46"/>
  <c r="E11" i="46"/>
  <c r="D11" i="46"/>
  <c r="F11" i="46" s="1"/>
  <c r="T10" i="46"/>
  <c r="W10" i="46" s="1"/>
  <c r="M10" i="46"/>
  <c r="P10" i="46" s="1"/>
  <c r="K10" i="46"/>
  <c r="E10" i="46"/>
  <c r="D10" i="46"/>
  <c r="F10" i="46" s="1"/>
  <c r="W9" i="46"/>
  <c r="M9" i="46"/>
  <c r="P9" i="46" s="1"/>
  <c r="K9" i="46"/>
  <c r="E9" i="46"/>
  <c r="D9" i="46"/>
  <c r="F9" i="46" s="1"/>
  <c r="T8" i="46"/>
  <c r="W8" i="46" s="1"/>
  <c r="M8" i="46"/>
  <c r="P8" i="46" s="1"/>
  <c r="K8" i="46"/>
  <c r="E8" i="46"/>
  <c r="D8" i="46"/>
  <c r="F8" i="46" s="1"/>
  <c r="U7" i="46"/>
  <c r="T7" i="46" s="1"/>
  <c r="W7" i="46" s="1"/>
  <c r="M7" i="46"/>
  <c r="K7" i="46"/>
  <c r="D7" i="46"/>
  <c r="T6" i="46"/>
  <c r="W6" i="46" s="1"/>
  <c r="M6" i="46"/>
  <c r="P6" i="46" s="1"/>
  <c r="K6" i="46"/>
  <c r="E6" i="46"/>
  <c r="D6" i="46"/>
  <c r="F6" i="46" s="1"/>
  <c r="O7" i="46" l="1"/>
  <c r="F7" i="46" l="1"/>
  <c r="E7" i="46"/>
  <c r="P7" i="46"/>
  <c r="T8" i="65"/>
  <c r="W8" i="65" s="1"/>
  <c r="M8" i="65"/>
  <c r="P8" i="65" s="1"/>
  <c r="K8" i="65"/>
  <c r="D8" i="65"/>
  <c r="T7" i="65"/>
  <c r="W7" i="65" s="1"/>
  <c r="M7" i="65"/>
  <c r="P7" i="65" s="1"/>
  <c r="K7" i="65"/>
  <c r="E7" i="65"/>
  <c r="D7" i="65"/>
  <c r="F7" i="65" s="1"/>
  <c r="T6" i="65"/>
  <c r="W6" i="65" s="1"/>
  <c r="M6" i="65"/>
  <c r="P6" i="65" s="1"/>
  <c r="K6" i="65"/>
  <c r="E6" i="65"/>
  <c r="D6" i="65"/>
  <c r="F6" i="65" s="1"/>
  <c r="T11" i="43" l="1"/>
  <c r="W11" i="43" s="1"/>
  <c r="M11" i="43"/>
  <c r="P11" i="43" s="1"/>
  <c r="K11" i="43"/>
  <c r="E11" i="43"/>
  <c r="D11" i="43"/>
  <c r="F11" i="43" s="1"/>
  <c r="T10" i="43"/>
  <c r="W10" i="43" s="1"/>
  <c r="M10" i="43"/>
  <c r="P10" i="43" s="1"/>
  <c r="K10" i="43"/>
  <c r="E10" i="43"/>
  <c r="D10" i="43"/>
  <c r="F10" i="43" s="1"/>
  <c r="W9" i="43"/>
  <c r="M9" i="43"/>
  <c r="P9" i="43" s="1"/>
  <c r="K9" i="43"/>
  <c r="T8" i="43"/>
  <c r="W8" i="43" s="1"/>
  <c r="M8" i="43"/>
  <c r="P8" i="43" s="1"/>
  <c r="K8" i="43"/>
  <c r="E8" i="43"/>
  <c r="D8" i="43"/>
  <c r="F8" i="43" s="1"/>
  <c r="T7" i="43"/>
  <c r="W7" i="43" s="1"/>
  <c r="M7" i="43"/>
  <c r="P7" i="43" s="1"/>
  <c r="K7" i="43"/>
  <c r="E7" i="43"/>
  <c r="D7" i="43"/>
  <c r="F7" i="43" s="1"/>
  <c r="T6" i="43"/>
  <c r="W6" i="43" s="1"/>
  <c r="S6" i="43"/>
  <c r="M6" i="43"/>
  <c r="P6" i="43" s="1"/>
  <c r="K6" i="43"/>
  <c r="E6" i="43"/>
  <c r="D6" i="43"/>
  <c r="F6" i="43" s="1"/>
  <c r="T22" i="42" l="1"/>
  <c r="W22" i="42" s="1"/>
  <c r="M22" i="42"/>
  <c r="P22" i="42" s="1"/>
  <c r="K22" i="42"/>
  <c r="E22" i="42"/>
  <c r="C22" i="42"/>
  <c r="D22" i="42" s="1"/>
  <c r="F22" i="42" s="1"/>
  <c r="T21" i="42"/>
  <c r="W21" i="42" s="1"/>
  <c r="L21" i="42"/>
  <c r="M21" i="42" s="1"/>
  <c r="P21" i="42" s="1"/>
  <c r="K21" i="42"/>
  <c r="E21" i="42"/>
  <c r="C21" i="42"/>
  <c r="D21" i="42" s="1"/>
  <c r="F21" i="42" s="1"/>
  <c r="T20" i="42"/>
  <c r="W20" i="42" s="1"/>
  <c r="M20" i="42"/>
  <c r="P20" i="42" s="1"/>
  <c r="K20" i="42"/>
  <c r="E20" i="42"/>
  <c r="D20" i="42"/>
  <c r="F20" i="42" s="1"/>
  <c r="T19" i="42"/>
  <c r="W19" i="42" s="1"/>
  <c r="M19" i="42"/>
  <c r="P19" i="42" s="1"/>
  <c r="K19" i="42"/>
  <c r="E19" i="42"/>
  <c r="D19" i="42"/>
  <c r="F19" i="42" s="1"/>
  <c r="T18" i="42"/>
  <c r="W18" i="42" s="1"/>
  <c r="M18" i="42"/>
  <c r="P18" i="42" s="1"/>
  <c r="K18" i="42"/>
  <c r="E18" i="42"/>
  <c r="D18" i="42"/>
  <c r="F18" i="42" s="1"/>
  <c r="T17" i="42"/>
  <c r="W17" i="42" s="1"/>
  <c r="M17" i="42"/>
  <c r="P17" i="42" s="1"/>
  <c r="K17" i="42"/>
  <c r="E17" i="42"/>
  <c r="D17" i="42"/>
  <c r="F17" i="42" s="1"/>
  <c r="T16" i="42"/>
  <c r="W16" i="42" s="1"/>
  <c r="M16" i="42"/>
  <c r="P16" i="42" s="1"/>
  <c r="K16" i="42"/>
  <c r="E16" i="42"/>
  <c r="D16" i="42"/>
  <c r="F16" i="42" s="1"/>
  <c r="T15" i="42"/>
  <c r="W15" i="42" s="1"/>
  <c r="M15" i="42"/>
  <c r="P15" i="42" s="1"/>
  <c r="K15" i="42"/>
  <c r="E15" i="42"/>
  <c r="D15" i="42"/>
  <c r="F15" i="42" s="1"/>
  <c r="T14" i="42"/>
  <c r="W14" i="42" s="1"/>
  <c r="M14" i="42"/>
  <c r="P14" i="42" s="1"/>
  <c r="K14" i="42"/>
  <c r="E14" i="42"/>
  <c r="D14" i="42"/>
  <c r="F14" i="42" s="1"/>
  <c r="T13" i="42"/>
  <c r="W13" i="42" s="1"/>
  <c r="M13" i="42"/>
  <c r="P13" i="42" s="1"/>
  <c r="K13" i="42"/>
  <c r="E13" i="42"/>
  <c r="D13" i="42"/>
  <c r="F13" i="42" s="1"/>
  <c r="T12" i="42"/>
  <c r="W12" i="42" s="1"/>
  <c r="M12" i="42"/>
  <c r="P12" i="42" s="1"/>
  <c r="K12" i="42"/>
  <c r="E12" i="42"/>
  <c r="D12" i="42"/>
  <c r="F12" i="42" s="1"/>
  <c r="T11" i="42"/>
  <c r="W11" i="42" s="1"/>
  <c r="M11" i="42"/>
  <c r="P11" i="42" s="1"/>
  <c r="K11" i="42"/>
  <c r="E11" i="42"/>
  <c r="D11" i="42"/>
  <c r="F11" i="42" s="1"/>
  <c r="W10" i="42"/>
  <c r="P10" i="42"/>
  <c r="W9" i="42"/>
  <c r="P9" i="42"/>
  <c r="T8" i="42"/>
  <c r="W8" i="42" s="1"/>
  <c r="M8" i="42"/>
  <c r="P8" i="42" s="1"/>
  <c r="K8" i="42"/>
  <c r="E8" i="42"/>
  <c r="D8" i="42"/>
  <c r="F8" i="42" s="1"/>
  <c r="T7" i="42"/>
  <c r="W7" i="42" s="1"/>
  <c r="M7" i="42"/>
  <c r="P7" i="42" s="1"/>
  <c r="K7" i="42"/>
  <c r="E7" i="42"/>
  <c r="D7" i="42"/>
  <c r="F7" i="42" s="1"/>
  <c r="T6" i="42"/>
  <c r="W6" i="42" s="1"/>
  <c r="M6" i="42"/>
  <c r="P6" i="42" s="1"/>
  <c r="K6" i="42"/>
  <c r="E6" i="42"/>
  <c r="D6" i="42"/>
  <c r="F6" i="42" s="1"/>
  <c r="T22" i="41" l="1"/>
  <c r="W22" i="41" s="1"/>
  <c r="O22" i="41"/>
  <c r="E22" i="41" s="1"/>
  <c r="L22" i="41"/>
  <c r="M22" i="41" s="1"/>
  <c r="P22" i="41" s="1"/>
  <c r="K22" i="41"/>
  <c r="D22" i="41"/>
  <c r="T21" i="41"/>
  <c r="W21" i="41" s="1"/>
  <c r="M21" i="41"/>
  <c r="P21" i="41" s="1"/>
  <c r="K21" i="41"/>
  <c r="E21" i="41"/>
  <c r="D21" i="41"/>
  <c r="F21" i="41" s="1"/>
  <c r="T20" i="41"/>
  <c r="W20" i="41" s="1"/>
  <c r="M20" i="41"/>
  <c r="P20" i="41" s="1"/>
  <c r="K20" i="41"/>
  <c r="E20" i="41"/>
  <c r="D20" i="41"/>
  <c r="F20" i="41" s="1"/>
  <c r="T19" i="41"/>
  <c r="W19" i="41" s="1"/>
  <c r="M19" i="41"/>
  <c r="P19" i="41" s="1"/>
  <c r="K19" i="41"/>
  <c r="E19" i="41"/>
  <c r="D19" i="41"/>
  <c r="F19" i="41" s="1"/>
  <c r="T18" i="41"/>
  <c r="W18" i="41" s="1"/>
  <c r="M18" i="41"/>
  <c r="P18" i="41" s="1"/>
  <c r="K18" i="41"/>
  <c r="E18" i="41"/>
  <c r="D18" i="41"/>
  <c r="F18" i="41" s="1"/>
  <c r="T17" i="41"/>
  <c r="W17" i="41" s="1"/>
  <c r="M17" i="41"/>
  <c r="P17" i="41" s="1"/>
  <c r="K17" i="41"/>
  <c r="E17" i="41"/>
  <c r="D17" i="41"/>
  <c r="F17" i="41" s="1"/>
  <c r="T16" i="41"/>
  <c r="W16" i="41" s="1"/>
  <c r="M16" i="41"/>
  <c r="P16" i="41" s="1"/>
  <c r="K16" i="41"/>
  <c r="E16" i="41"/>
  <c r="D16" i="41"/>
  <c r="F16" i="41" s="1"/>
  <c r="T15" i="41"/>
  <c r="W15" i="41" s="1"/>
  <c r="M15" i="41"/>
  <c r="P15" i="41" s="1"/>
  <c r="K15" i="41"/>
  <c r="E15" i="41"/>
  <c r="D15" i="41"/>
  <c r="F15" i="41" s="1"/>
  <c r="T14" i="41"/>
  <c r="W14" i="41" s="1"/>
  <c r="M14" i="41"/>
  <c r="P14" i="41" s="1"/>
  <c r="K14" i="41"/>
  <c r="E14" i="41"/>
  <c r="D14" i="41"/>
  <c r="F14" i="41" s="1"/>
  <c r="T13" i="41"/>
  <c r="W13" i="41" s="1"/>
  <c r="M13" i="41"/>
  <c r="P13" i="41" s="1"/>
  <c r="K13" i="41"/>
  <c r="E13" i="41"/>
  <c r="D13" i="41"/>
  <c r="F13" i="41" s="1"/>
  <c r="T12" i="41"/>
  <c r="W12" i="41" s="1"/>
  <c r="M12" i="41"/>
  <c r="P12" i="41" s="1"/>
  <c r="K12" i="41"/>
  <c r="E12" i="41"/>
  <c r="D12" i="41"/>
  <c r="F12" i="41" s="1"/>
  <c r="T11" i="41"/>
  <c r="W11" i="41" s="1"/>
  <c r="M11" i="41"/>
  <c r="P11" i="41" s="1"/>
  <c r="K11" i="41"/>
  <c r="E11" i="41"/>
  <c r="D11" i="41"/>
  <c r="F11" i="41" s="1"/>
  <c r="T10" i="41"/>
  <c r="W10" i="41" s="1"/>
  <c r="M10" i="41"/>
  <c r="P10" i="41" s="1"/>
  <c r="K10" i="41"/>
  <c r="E10" i="41"/>
  <c r="D10" i="41"/>
  <c r="F10" i="41" s="1"/>
  <c r="W9" i="41"/>
  <c r="P9" i="41"/>
  <c r="T8" i="41"/>
  <c r="W8" i="41" s="1"/>
  <c r="M8" i="41"/>
  <c r="P8" i="41" s="1"/>
  <c r="K8" i="41"/>
  <c r="E8" i="41"/>
  <c r="D8" i="41"/>
  <c r="F8" i="41" s="1"/>
  <c r="T7" i="41"/>
  <c r="W7" i="41" s="1"/>
  <c r="L7" i="41"/>
  <c r="M7" i="41" s="1"/>
  <c r="P7" i="41" s="1"/>
  <c r="K7" i="41"/>
  <c r="E7" i="41"/>
  <c r="D7" i="41"/>
  <c r="F7" i="41" s="1"/>
  <c r="T6" i="41"/>
  <c r="W6" i="41" s="1"/>
  <c r="M6" i="41"/>
  <c r="P6" i="41" s="1"/>
  <c r="K6" i="41"/>
  <c r="E6" i="41"/>
  <c r="D6" i="41"/>
  <c r="F6" i="41" s="1"/>
  <c r="F22" i="41" l="1"/>
  <c r="T22" i="37"/>
  <c r="W22" i="37" s="1"/>
  <c r="O22" i="37"/>
  <c r="E22" i="37" s="1"/>
  <c r="L22" i="37"/>
  <c r="M22" i="37" s="1"/>
  <c r="K22" i="37"/>
  <c r="D22" i="37"/>
  <c r="T21" i="37"/>
  <c r="W21" i="37" s="1"/>
  <c r="M21" i="37"/>
  <c r="P21" i="37" s="1"/>
  <c r="K21" i="37"/>
  <c r="E21" i="37"/>
  <c r="D21" i="37"/>
  <c r="F21" i="37" s="1"/>
  <c r="T20" i="37"/>
  <c r="W20" i="37" s="1"/>
  <c r="M20" i="37"/>
  <c r="P20" i="37" s="1"/>
  <c r="K20" i="37"/>
  <c r="E20" i="37"/>
  <c r="D20" i="37"/>
  <c r="F20" i="37" s="1"/>
  <c r="T19" i="37"/>
  <c r="W19" i="37" s="1"/>
  <c r="M19" i="37"/>
  <c r="P19" i="37" s="1"/>
  <c r="K19" i="37"/>
  <c r="E19" i="37"/>
  <c r="D19" i="37"/>
  <c r="F19" i="37" s="1"/>
  <c r="T18" i="37"/>
  <c r="W18" i="37" s="1"/>
  <c r="M18" i="37"/>
  <c r="P18" i="37" s="1"/>
  <c r="K18" i="37"/>
  <c r="E18" i="37"/>
  <c r="D18" i="37"/>
  <c r="F18" i="37" s="1"/>
  <c r="T17" i="37"/>
  <c r="W17" i="37" s="1"/>
  <c r="M17" i="37"/>
  <c r="P17" i="37" s="1"/>
  <c r="E17" i="37"/>
  <c r="D17" i="37"/>
  <c r="F17" i="37" s="1"/>
  <c r="T16" i="37"/>
  <c r="W16" i="37" s="1"/>
  <c r="M16" i="37"/>
  <c r="P16" i="37" s="1"/>
  <c r="K16" i="37"/>
  <c r="E16" i="37"/>
  <c r="D16" i="37"/>
  <c r="F16" i="37" s="1"/>
  <c r="T15" i="37"/>
  <c r="W15" i="37" s="1"/>
  <c r="M15" i="37"/>
  <c r="P15" i="37" s="1"/>
  <c r="K15" i="37"/>
  <c r="E15" i="37"/>
  <c r="D15" i="37"/>
  <c r="F15" i="37" s="1"/>
  <c r="T14" i="37"/>
  <c r="W14" i="37" s="1"/>
  <c r="M14" i="37"/>
  <c r="P14" i="37" s="1"/>
  <c r="K14" i="37"/>
  <c r="E14" i="37"/>
  <c r="D14" i="37"/>
  <c r="F14" i="37" s="1"/>
  <c r="T13" i="37"/>
  <c r="W13" i="37" s="1"/>
  <c r="M13" i="37"/>
  <c r="P13" i="37" s="1"/>
  <c r="K13" i="37"/>
  <c r="E13" i="37"/>
  <c r="D13" i="37"/>
  <c r="F13" i="37" s="1"/>
  <c r="T12" i="37"/>
  <c r="W12" i="37" s="1"/>
  <c r="M12" i="37"/>
  <c r="P12" i="37" s="1"/>
  <c r="K12" i="37"/>
  <c r="E12" i="37"/>
  <c r="D12" i="37"/>
  <c r="F12" i="37" s="1"/>
  <c r="T11" i="37"/>
  <c r="W11" i="37" s="1"/>
  <c r="M11" i="37"/>
  <c r="P11" i="37" s="1"/>
  <c r="K11" i="37"/>
  <c r="E11" i="37"/>
  <c r="D11" i="37"/>
  <c r="F11" i="37" s="1"/>
  <c r="T10" i="37"/>
  <c r="W10" i="37" s="1"/>
  <c r="M10" i="37"/>
  <c r="P10" i="37" s="1"/>
  <c r="K10" i="37"/>
  <c r="E10" i="37"/>
  <c r="D10" i="37"/>
  <c r="F10" i="37" s="1"/>
  <c r="W9" i="37"/>
  <c r="P9" i="37"/>
  <c r="T8" i="37"/>
  <c r="W8" i="37" s="1"/>
  <c r="M8" i="37"/>
  <c r="P8" i="37" s="1"/>
  <c r="K8" i="37"/>
  <c r="E8" i="37"/>
  <c r="D8" i="37"/>
  <c r="F8" i="37" s="1"/>
  <c r="T7" i="37"/>
  <c r="W7" i="37" s="1"/>
  <c r="M7" i="37"/>
  <c r="P7" i="37" s="1"/>
  <c r="K7" i="37"/>
  <c r="E7" i="37"/>
  <c r="D7" i="37"/>
  <c r="F7" i="37" s="1"/>
  <c r="T6" i="37"/>
  <c r="W6" i="37" s="1"/>
  <c r="M6" i="37"/>
  <c r="P6" i="37" s="1"/>
  <c r="K6" i="37"/>
  <c r="E6" i="37"/>
  <c r="D6" i="37"/>
  <c r="F6" i="37" s="1"/>
  <c r="P22" i="37" l="1"/>
  <c r="F22" i="37"/>
  <c r="T22" i="32"/>
  <c r="W22" i="32" s="1"/>
  <c r="M22" i="32"/>
  <c r="P22" i="32" s="1"/>
  <c r="K22" i="32"/>
  <c r="E22" i="32"/>
  <c r="D22" i="32"/>
  <c r="F22" i="32" s="1"/>
  <c r="T21" i="32"/>
  <c r="W21" i="32" s="1"/>
  <c r="M21" i="32"/>
  <c r="P21" i="32" s="1"/>
  <c r="K21" i="32"/>
  <c r="E21" i="32"/>
  <c r="D21" i="32"/>
  <c r="F21" i="32" s="1"/>
  <c r="T20" i="32"/>
  <c r="W20" i="32" s="1"/>
  <c r="M20" i="32"/>
  <c r="P20" i="32" s="1"/>
  <c r="K20" i="32"/>
  <c r="E20" i="32"/>
  <c r="D20" i="32"/>
  <c r="F20" i="32" s="1"/>
  <c r="T19" i="32"/>
  <c r="W19" i="32" s="1"/>
  <c r="M19" i="32"/>
  <c r="P19" i="32" s="1"/>
  <c r="K19" i="32"/>
  <c r="E19" i="32"/>
  <c r="D19" i="32"/>
  <c r="F19" i="32" s="1"/>
  <c r="T18" i="32"/>
  <c r="W18" i="32" s="1"/>
  <c r="M18" i="32"/>
  <c r="P18" i="32" s="1"/>
  <c r="K18" i="32"/>
  <c r="E18" i="32"/>
  <c r="D18" i="32"/>
  <c r="F18" i="32" s="1"/>
  <c r="T17" i="32"/>
  <c r="W17" i="32" s="1"/>
  <c r="M17" i="32"/>
  <c r="P17" i="32" s="1"/>
  <c r="K17" i="32"/>
  <c r="E17" i="32"/>
  <c r="D17" i="32"/>
  <c r="F17" i="32" s="1"/>
  <c r="T16" i="32"/>
  <c r="W16" i="32" s="1"/>
  <c r="M16" i="32"/>
  <c r="P16" i="32" s="1"/>
  <c r="K16" i="32"/>
  <c r="E16" i="32"/>
  <c r="D16" i="32"/>
  <c r="F16" i="32" s="1"/>
  <c r="T15" i="32"/>
  <c r="W15" i="32" s="1"/>
  <c r="M15" i="32"/>
  <c r="P15" i="32" s="1"/>
  <c r="K15" i="32"/>
  <c r="E15" i="32"/>
  <c r="D15" i="32"/>
  <c r="F15" i="32" s="1"/>
  <c r="T14" i="32"/>
  <c r="W14" i="32" s="1"/>
  <c r="M14" i="32"/>
  <c r="P14" i="32" s="1"/>
  <c r="K14" i="32"/>
  <c r="E14" i="32"/>
  <c r="D14" i="32"/>
  <c r="F14" i="32" s="1"/>
  <c r="T13" i="32"/>
  <c r="W13" i="32" s="1"/>
  <c r="M13" i="32"/>
  <c r="P13" i="32" s="1"/>
  <c r="K13" i="32"/>
  <c r="E13" i="32"/>
  <c r="D13" i="32"/>
  <c r="F13" i="32" s="1"/>
  <c r="T12" i="32"/>
  <c r="W12" i="32" s="1"/>
  <c r="M12" i="32"/>
  <c r="P12" i="32" s="1"/>
  <c r="K12" i="32"/>
  <c r="E12" i="32"/>
  <c r="D12" i="32"/>
  <c r="F12" i="32" s="1"/>
  <c r="T11" i="32"/>
  <c r="W11" i="32" s="1"/>
  <c r="M11" i="32"/>
  <c r="P11" i="32" s="1"/>
  <c r="K11" i="32"/>
  <c r="E11" i="32"/>
  <c r="D11" i="32"/>
  <c r="F11" i="32" s="1"/>
  <c r="T10" i="32"/>
  <c r="W10" i="32" s="1"/>
  <c r="M10" i="32"/>
  <c r="P10" i="32" s="1"/>
  <c r="K10" i="32"/>
  <c r="E10" i="32"/>
  <c r="D10" i="32"/>
  <c r="F10" i="32" s="1"/>
  <c r="T9" i="32"/>
  <c r="W9" i="32" s="1"/>
  <c r="M9" i="32"/>
  <c r="P9" i="32" s="1"/>
  <c r="K9" i="32"/>
  <c r="E9" i="32"/>
  <c r="D9" i="32"/>
  <c r="F9" i="32" s="1"/>
  <c r="T8" i="32"/>
  <c r="W8" i="32" s="1"/>
  <c r="M8" i="32"/>
  <c r="P8" i="32" s="1"/>
  <c r="K8" i="32"/>
  <c r="E8" i="32"/>
  <c r="D8" i="32"/>
  <c r="F8" i="32" s="1"/>
  <c r="T7" i="32"/>
  <c r="W7" i="32" s="1"/>
  <c r="M7" i="32"/>
  <c r="P7" i="32" s="1"/>
  <c r="K7" i="32"/>
  <c r="E7" i="32"/>
  <c r="D7" i="32"/>
  <c r="F7" i="32" s="1"/>
  <c r="T6" i="32"/>
  <c r="W6" i="32" s="1"/>
  <c r="M6" i="32"/>
  <c r="P6" i="32" s="1"/>
  <c r="K6" i="32"/>
  <c r="E6" i="32"/>
  <c r="D6" i="32"/>
  <c r="F6" i="32" s="1"/>
  <c r="T22" i="61" l="1"/>
  <c r="W22" i="61" s="1"/>
  <c r="O22" i="61"/>
  <c r="E22" i="61" s="1"/>
  <c r="L22" i="61"/>
  <c r="M22" i="61" s="1"/>
  <c r="K22" i="61"/>
  <c r="D22" i="61"/>
  <c r="T21" i="61"/>
  <c r="W21" i="61" s="1"/>
  <c r="M21" i="61"/>
  <c r="P21" i="61" s="1"/>
  <c r="K21" i="61"/>
  <c r="E21" i="61"/>
  <c r="D21" i="61"/>
  <c r="F21" i="61" s="1"/>
  <c r="T20" i="61"/>
  <c r="W20" i="61" s="1"/>
  <c r="M20" i="61"/>
  <c r="P20" i="61" s="1"/>
  <c r="K20" i="61"/>
  <c r="E20" i="61"/>
  <c r="D20" i="61"/>
  <c r="F20" i="61" s="1"/>
  <c r="T19" i="61"/>
  <c r="W19" i="61" s="1"/>
  <c r="M19" i="61"/>
  <c r="P19" i="61" s="1"/>
  <c r="K19" i="61"/>
  <c r="E19" i="61"/>
  <c r="D19" i="61"/>
  <c r="F19" i="61" s="1"/>
  <c r="T18" i="61"/>
  <c r="W18" i="61" s="1"/>
  <c r="M18" i="61"/>
  <c r="P18" i="61" s="1"/>
  <c r="K18" i="61"/>
  <c r="E18" i="61"/>
  <c r="D18" i="61"/>
  <c r="F18" i="61" s="1"/>
  <c r="T17" i="61"/>
  <c r="W17" i="61" s="1"/>
  <c r="M17" i="61"/>
  <c r="P17" i="61" s="1"/>
  <c r="K17" i="61"/>
  <c r="E17" i="61"/>
  <c r="D17" i="61"/>
  <c r="F17" i="61" s="1"/>
  <c r="T16" i="61"/>
  <c r="W16" i="61" s="1"/>
  <c r="M16" i="61"/>
  <c r="P16" i="61" s="1"/>
  <c r="K16" i="61"/>
  <c r="E16" i="61"/>
  <c r="D16" i="61"/>
  <c r="F16" i="61" s="1"/>
  <c r="T15" i="61"/>
  <c r="W15" i="61" s="1"/>
  <c r="M15" i="61"/>
  <c r="P15" i="61" s="1"/>
  <c r="K15" i="61"/>
  <c r="E15" i="61"/>
  <c r="D15" i="61"/>
  <c r="F15" i="61" s="1"/>
  <c r="T14" i="61"/>
  <c r="W14" i="61" s="1"/>
  <c r="M14" i="61"/>
  <c r="P14" i="61" s="1"/>
  <c r="K14" i="61"/>
  <c r="E14" i="61"/>
  <c r="D14" i="61"/>
  <c r="F14" i="61" s="1"/>
  <c r="T13" i="61"/>
  <c r="W13" i="61" s="1"/>
  <c r="M13" i="61"/>
  <c r="P13" i="61" s="1"/>
  <c r="K13" i="61"/>
  <c r="E13" i="61"/>
  <c r="D13" i="61"/>
  <c r="F13" i="61" s="1"/>
  <c r="T12" i="61"/>
  <c r="W12" i="61" s="1"/>
  <c r="M12" i="61"/>
  <c r="P12" i="61" s="1"/>
  <c r="K12" i="61"/>
  <c r="E12" i="61"/>
  <c r="D12" i="61"/>
  <c r="F12" i="61" s="1"/>
  <c r="T11" i="61"/>
  <c r="W11" i="61" s="1"/>
  <c r="M11" i="61"/>
  <c r="P11" i="61" s="1"/>
  <c r="K11" i="61"/>
  <c r="E11" i="61"/>
  <c r="D11" i="61"/>
  <c r="F11" i="61" s="1"/>
  <c r="T10" i="61"/>
  <c r="W10" i="61" s="1"/>
  <c r="M10" i="61"/>
  <c r="P10" i="61" s="1"/>
  <c r="K10" i="61"/>
  <c r="E10" i="61"/>
  <c r="D10" i="61"/>
  <c r="F10" i="61" s="1"/>
  <c r="W9" i="61"/>
  <c r="P9" i="61"/>
  <c r="T8" i="61"/>
  <c r="W8" i="61" s="1"/>
  <c r="M8" i="61"/>
  <c r="P8" i="61" s="1"/>
  <c r="K8" i="61"/>
  <c r="E8" i="61"/>
  <c r="D8" i="61"/>
  <c r="F8" i="61" s="1"/>
  <c r="T7" i="61"/>
  <c r="W7" i="61" s="1"/>
  <c r="M7" i="61"/>
  <c r="P7" i="61" s="1"/>
  <c r="K7" i="61"/>
  <c r="E7" i="61"/>
  <c r="D7" i="61"/>
  <c r="F7" i="61" s="1"/>
  <c r="T6" i="61"/>
  <c r="W6" i="61" s="1"/>
  <c r="M6" i="61"/>
  <c r="P6" i="61" s="1"/>
  <c r="K6" i="61"/>
  <c r="E6" i="61"/>
  <c r="D6" i="61"/>
  <c r="F6" i="61" s="1"/>
  <c r="P22" i="61" l="1"/>
  <c r="F22" i="61"/>
  <c r="T22" i="24"/>
  <c r="W22" i="24" s="1"/>
  <c r="O22" i="24"/>
  <c r="E22" i="24" s="1"/>
  <c r="L22" i="24"/>
  <c r="M22" i="24" s="1"/>
  <c r="K22" i="24"/>
  <c r="C22" i="24"/>
  <c r="D22" i="24" s="1"/>
  <c r="T21" i="24"/>
  <c r="W21" i="24" s="1"/>
  <c r="M21" i="24"/>
  <c r="P21" i="24" s="1"/>
  <c r="K21" i="24"/>
  <c r="E21" i="24"/>
  <c r="D21" i="24"/>
  <c r="F21" i="24" s="1"/>
  <c r="T20" i="24"/>
  <c r="W20" i="24" s="1"/>
  <c r="M20" i="24"/>
  <c r="P20" i="24" s="1"/>
  <c r="K20" i="24"/>
  <c r="E20" i="24"/>
  <c r="D20" i="24"/>
  <c r="F20" i="24" s="1"/>
  <c r="T19" i="24"/>
  <c r="W19" i="24" s="1"/>
  <c r="M19" i="24"/>
  <c r="P19" i="24" s="1"/>
  <c r="K19" i="24"/>
  <c r="E19" i="24"/>
  <c r="D19" i="24"/>
  <c r="F19" i="24" s="1"/>
  <c r="T18" i="24"/>
  <c r="W18" i="24" s="1"/>
  <c r="M18" i="24"/>
  <c r="P18" i="24" s="1"/>
  <c r="K18" i="24"/>
  <c r="E18" i="24"/>
  <c r="D18" i="24"/>
  <c r="F18" i="24" s="1"/>
  <c r="T17" i="24"/>
  <c r="W17" i="24" s="1"/>
  <c r="M17" i="24"/>
  <c r="P17" i="24" s="1"/>
  <c r="K17" i="24"/>
  <c r="E17" i="24"/>
  <c r="D17" i="24"/>
  <c r="F17" i="24" s="1"/>
  <c r="T16" i="24"/>
  <c r="W16" i="24" s="1"/>
  <c r="M16" i="24"/>
  <c r="P16" i="24" s="1"/>
  <c r="K16" i="24"/>
  <c r="E16" i="24"/>
  <c r="D16" i="24"/>
  <c r="F16" i="24" s="1"/>
  <c r="T15" i="24"/>
  <c r="W15" i="24" s="1"/>
  <c r="M15" i="24"/>
  <c r="P15" i="24" s="1"/>
  <c r="K15" i="24"/>
  <c r="E15" i="24"/>
  <c r="D15" i="24"/>
  <c r="F15" i="24" s="1"/>
  <c r="T14" i="24"/>
  <c r="W14" i="24" s="1"/>
  <c r="M14" i="24"/>
  <c r="P14" i="24" s="1"/>
  <c r="K14" i="24"/>
  <c r="E14" i="24"/>
  <c r="D14" i="24"/>
  <c r="F14" i="24" s="1"/>
  <c r="T13" i="24"/>
  <c r="W13" i="24" s="1"/>
  <c r="M13" i="24"/>
  <c r="P13" i="24" s="1"/>
  <c r="K13" i="24"/>
  <c r="E13" i="24"/>
  <c r="D13" i="24"/>
  <c r="F13" i="24" s="1"/>
  <c r="T12" i="24"/>
  <c r="W12" i="24" s="1"/>
  <c r="M12" i="24"/>
  <c r="P12" i="24" s="1"/>
  <c r="K12" i="24"/>
  <c r="E12" i="24"/>
  <c r="D12" i="24"/>
  <c r="F12" i="24" s="1"/>
  <c r="T11" i="24"/>
  <c r="W11" i="24" s="1"/>
  <c r="M11" i="24"/>
  <c r="P11" i="24" s="1"/>
  <c r="K11" i="24"/>
  <c r="E11" i="24"/>
  <c r="D11" i="24"/>
  <c r="F11" i="24" s="1"/>
  <c r="W10" i="24"/>
  <c r="P10" i="24"/>
  <c r="W9" i="24"/>
  <c r="P9" i="24"/>
  <c r="T8" i="24"/>
  <c r="W8" i="24" s="1"/>
  <c r="M8" i="24"/>
  <c r="P8" i="24" s="1"/>
  <c r="K8" i="24"/>
  <c r="E8" i="24"/>
  <c r="D8" i="24"/>
  <c r="F8" i="24" s="1"/>
  <c r="T7" i="24"/>
  <c r="W7" i="24" s="1"/>
  <c r="M7" i="24"/>
  <c r="P7" i="24" s="1"/>
  <c r="K7" i="24"/>
  <c r="E7" i="24"/>
  <c r="D7" i="24"/>
  <c r="F7" i="24" s="1"/>
  <c r="T6" i="24"/>
  <c r="W6" i="24" s="1"/>
  <c r="M6" i="24"/>
  <c r="P6" i="24" s="1"/>
  <c r="K6" i="24"/>
  <c r="E6" i="24"/>
  <c r="D6" i="24"/>
  <c r="F6" i="24" s="1"/>
  <c r="P22" i="24" l="1"/>
  <c r="F22" i="24"/>
  <c r="T22" i="20"/>
  <c r="W22" i="20" s="1"/>
  <c r="L22" i="20"/>
  <c r="M22" i="20" s="1"/>
  <c r="P22" i="20" s="1"/>
  <c r="K22" i="20"/>
  <c r="E22" i="20"/>
  <c r="C22" i="20"/>
  <c r="D22" i="20" s="1"/>
  <c r="F22" i="20" s="1"/>
  <c r="T21" i="20"/>
  <c r="W21" i="20" s="1"/>
  <c r="O21" i="20"/>
  <c r="E21" i="20" s="1"/>
  <c r="L21" i="20"/>
  <c r="M21" i="20" s="1"/>
  <c r="K21" i="20"/>
  <c r="D21" i="20"/>
  <c r="T20" i="20"/>
  <c r="W20" i="20" s="1"/>
  <c r="M20" i="20"/>
  <c r="P20" i="20" s="1"/>
  <c r="K20" i="20"/>
  <c r="E20" i="20"/>
  <c r="D20" i="20"/>
  <c r="F20" i="20" s="1"/>
  <c r="T19" i="20"/>
  <c r="W19" i="20" s="1"/>
  <c r="M19" i="20"/>
  <c r="P19" i="20" s="1"/>
  <c r="K19" i="20"/>
  <c r="E19" i="20"/>
  <c r="D19" i="20"/>
  <c r="F19" i="20" s="1"/>
  <c r="T18" i="20"/>
  <c r="W18" i="20" s="1"/>
  <c r="M18" i="20"/>
  <c r="P18" i="20" s="1"/>
  <c r="K18" i="20"/>
  <c r="E18" i="20"/>
  <c r="D18" i="20"/>
  <c r="F18" i="20" s="1"/>
  <c r="T17" i="20"/>
  <c r="W17" i="20" s="1"/>
  <c r="M17" i="20"/>
  <c r="P17" i="20" s="1"/>
  <c r="K17" i="20"/>
  <c r="E17" i="20"/>
  <c r="D17" i="20"/>
  <c r="F17" i="20" s="1"/>
  <c r="T16" i="20"/>
  <c r="W16" i="20" s="1"/>
  <c r="M16" i="20"/>
  <c r="P16" i="20" s="1"/>
  <c r="K16" i="20"/>
  <c r="E16" i="20"/>
  <c r="D16" i="20"/>
  <c r="F16" i="20" s="1"/>
  <c r="T15" i="20"/>
  <c r="W15" i="20" s="1"/>
  <c r="M15" i="20"/>
  <c r="P15" i="20" s="1"/>
  <c r="K15" i="20"/>
  <c r="E15" i="20"/>
  <c r="D15" i="20"/>
  <c r="F15" i="20" s="1"/>
  <c r="T14" i="20"/>
  <c r="W14" i="20" s="1"/>
  <c r="M14" i="20"/>
  <c r="P14" i="20" s="1"/>
  <c r="K14" i="20"/>
  <c r="E14" i="20"/>
  <c r="D14" i="20"/>
  <c r="F14" i="20" s="1"/>
  <c r="T13" i="20"/>
  <c r="W13" i="20" s="1"/>
  <c r="M13" i="20"/>
  <c r="P13" i="20" s="1"/>
  <c r="K13" i="20"/>
  <c r="E13" i="20"/>
  <c r="D13" i="20"/>
  <c r="F13" i="20" s="1"/>
  <c r="T12" i="20"/>
  <c r="W12" i="20" s="1"/>
  <c r="M12" i="20"/>
  <c r="P12" i="20" s="1"/>
  <c r="K12" i="20"/>
  <c r="E12" i="20"/>
  <c r="D12" i="20"/>
  <c r="F12" i="20" s="1"/>
  <c r="T11" i="20"/>
  <c r="W11" i="20" s="1"/>
  <c r="M11" i="20"/>
  <c r="P11" i="20" s="1"/>
  <c r="K11" i="20"/>
  <c r="E11" i="20"/>
  <c r="D11" i="20"/>
  <c r="F11" i="20" s="1"/>
  <c r="W10" i="20"/>
  <c r="P10" i="20"/>
  <c r="W9" i="20"/>
  <c r="P9" i="20"/>
  <c r="T8" i="20"/>
  <c r="W8" i="20" s="1"/>
  <c r="M8" i="20"/>
  <c r="P8" i="20" s="1"/>
  <c r="K8" i="20"/>
  <c r="E8" i="20"/>
  <c r="D8" i="20"/>
  <c r="F8" i="20" s="1"/>
  <c r="T7" i="20"/>
  <c r="W7" i="20" s="1"/>
  <c r="M7" i="20"/>
  <c r="P7" i="20" s="1"/>
  <c r="K7" i="20"/>
  <c r="E7" i="20"/>
  <c r="D7" i="20"/>
  <c r="F7" i="20" s="1"/>
  <c r="T6" i="20"/>
  <c r="W6" i="20" s="1"/>
  <c r="M6" i="20"/>
  <c r="P6" i="20" s="1"/>
  <c r="K6" i="20"/>
  <c r="E6" i="20"/>
  <c r="D6" i="20"/>
  <c r="F6" i="20" s="1"/>
  <c r="F21" i="20" l="1"/>
  <c r="P21" i="20"/>
  <c r="T22" i="17"/>
  <c r="W22" i="17" s="1"/>
  <c r="O22" i="17"/>
  <c r="E22" i="17" s="1"/>
  <c r="L22" i="17"/>
  <c r="M22" i="17" s="1"/>
  <c r="K22" i="17"/>
  <c r="D22" i="17"/>
  <c r="T21" i="17"/>
  <c r="W21" i="17" s="1"/>
  <c r="M21" i="17"/>
  <c r="P21" i="17" s="1"/>
  <c r="K21" i="17"/>
  <c r="E21" i="17"/>
  <c r="D21" i="17"/>
  <c r="F21" i="17" s="1"/>
  <c r="M20" i="17"/>
  <c r="P20" i="17" s="1"/>
  <c r="K20" i="17"/>
  <c r="E20" i="17"/>
  <c r="D20" i="17"/>
  <c r="F20" i="17" s="1"/>
  <c r="T19" i="17"/>
  <c r="W19" i="17" s="1"/>
  <c r="M19" i="17"/>
  <c r="P19" i="17" s="1"/>
  <c r="K19" i="17"/>
  <c r="E19" i="17"/>
  <c r="D19" i="17"/>
  <c r="F19" i="17" s="1"/>
  <c r="T18" i="17"/>
  <c r="W18" i="17" s="1"/>
  <c r="M18" i="17"/>
  <c r="P18" i="17" s="1"/>
  <c r="K18" i="17"/>
  <c r="E18" i="17"/>
  <c r="D18" i="17"/>
  <c r="F18" i="17" s="1"/>
  <c r="T17" i="17"/>
  <c r="W17" i="17" s="1"/>
  <c r="M17" i="17"/>
  <c r="P17" i="17" s="1"/>
  <c r="K17" i="17"/>
  <c r="E17" i="17"/>
  <c r="D17" i="17"/>
  <c r="F17" i="17" s="1"/>
  <c r="T16" i="17"/>
  <c r="W16" i="17" s="1"/>
  <c r="M16" i="17"/>
  <c r="P16" i="17" s="1"/>
  <c r="K16" i="17"/>
  <c r="E16" i="17"/>
  <c r="D16" i="17"/>
  <c r="F16" i="17" s="1"/>
  <c r="T15" i="17"/>
  <c r="W15" i="17" s="1"/>
  <c r="M15" i="17"/>
  <c r="P15" i="17" s="1"/>
  <c r="K15" i="17"/>
  <c r="E15" i="17"/>
  <c r="D15" i="17"/>
  <c r="F15" i="17" s="1"/>
  <c r="T14" i="17"/>
  <c r="W14" i="17" s="1"/>
  <c r="M14" i="17"/>
  <c r="P14" i="17" s="1"/>
  <c r="K14" i="17"/>
  <c r="E14" i="17"/>
  <c r="D14" i="17"/>
  <c r="F14" i="17" s="1"/>
  <c r="T13" i="17"/>
  <c r="W13" i="17" s="1"/>
  <c r="M13" i="17"/>
  <c r="P13" i="17" s="1"/>
  <c r="K13" i="17"/>
  <c r="E13" i="17"/>
  <c r="D13" i="17"/>
  <c r="F13" i="17" s="1"/>
  <c r="T12" i="17"/>
  <c r="W12" i="17" s="1"/>
  <c r="M12" i="17"/>
  <c r="P12" i="17" s="1"/>
  <c r="K12" i="17"/>
  <c r="E12" i="17"/>
  <c r="D12" i="17"/>
  <c r="F12" i="17" s="1"/>
  <c r="T11" i="17"/>
  <c r="W11" i="17" s="1"/>
  <c r="M11" i="17"/>
  <c r="P11" i="17" s="1"/>
  <c r="K11" i="17"/>
  <c r="E11" i="17"/>
  <c r="D11" i="17"/>
  <c r="F11" i="17" s="1"/>
  <c r="T10" i="17"/>
  <c r="W10" i="17" s="1"/>
  <c r="M10" i="17"/>
  <c r="P10" i="17" s="1"/>
  <c r="K10" i="17"/>
  <c r="E10" i="17"/>
  <c r="D10" i="17"/>
  <c r="F10" i="17" s="1"/>
  <c r="W9" i="17"/>
  <c r="P9" i="17"/>
  <c r="T8" i="17"/>
  <c r="W8" i="17" s="1"/>
  <c r="M8" i="17"/>
  <c r="P8" i="17" s="1"/>
  <c r="K8" i="17"/>
  <c r="E8" i="17"/>
  <c r="D8" i="17"/>
  <c r="F8" i="17" s="1"/>
  <c r="T7" i="17"/>
  <c r="W7" i="17" s="1"/>
  <c r="M7" i="17"/>
  <c r="P7" i="17" s="1"/>
  <c r="K7" i="17"/>
  <c r="E7" i="17"/>
  <c r="D7" i="17"/>
  <c r="F7" i="17" s="1"/>
  <c r="T6" i="17"/>
  <c r="W6" i="17" s="1"/>
  <c r="M6" i="17"/>
  <c r="K6" i="17"/>
  <c r="E6" i="17"/>
  <c r="D6" i="17"/>
  <c r="F6" i="17" s="1"/>
  <c r="P6" i="17" l="1"/>
  <c r="P22" i="17"/>
  <c r="F22" i="17"/>
  <c r="T22" i="15"/>
  <c r="W22" i="15" s="1"/>
  <c r="O22" i="15"/>
  <c r="E22" i="15" s="1"/>
  <c r="L22" i="15"/>
  <c r="M22" i="15" s="1"/>
  <c r="K22" i="15"/>
  <c r="C22" i="15"/>
  <c r="D22" i="15" s="1"/>
  <c r="T21" i="15"/>
  <c r="W21" i="15" s="1"/>
  <c r="L21" i="15"/>
  <c r="M21" i="15" s="1"/>
  <c r="P21" i="15" s="1"/>
  <c r="K21" i="15"/>
  <c r="E21" i="15"/>
  <c r="C21" i="15"/>
  <c r="D21" i="15" s="1"/>
  <c r="F21" i="15" s="1"/>
  <c r="T20" i="15"/>
  <c r="W20" i="15" s="1"/>
  <c r="M20" i="15"/>
  <c r="P20" i="15" s="1"/>
  <c r="K20" i="15"/>
  <c r="E20" i="15"/>
  <c r="D20" i="15"/>
  <c r="F20" i="15" s="1"/>
  <c r="T19" i="15"/>
  <c r="W19" i="15" s="1"/>
  <c r="M19" i="15"/>
  <c r="P19" i="15" s="1"/>
  <c r="K19" i="15"/>
  <c r="E19" i="15"/>
  <c r="D19" i="15"/>
  <c r="F19" i="15" s="1"/>
  <c r="T18" i="15"/>
  <c r="W18" i="15" s="1"/>
  <c r="M18" i="15"/>
  <c r="P18" i="15" s="1"/>
  <c r="K18" i="15"/>
  <c r="E18" i="15"/>
  <c r="D18" i="15"/>
  <c r="F18" i="15" s="1"/>
  <c r="T17" i="15"/>
  <c r="W17" i="15" s="1"/>
  <c r="M17" i="15"/>
  <c r="P17" i="15" s="1"/>
  <c r="K17" i="15"/>
  <c r="E17" i="15"/>
  <c r="D17" i="15"/>
  <c r="F17" i="15" s="1"/>
  <c r="T16" i="15"/>
  <c r="W16" i="15" s="1"/>
  <c r="M16" i="15"/>
  <c r="P16" i="15" s="1"/>
  <c r="K16" i="15"/>
  <c r="E16" i="15"/>
  <c r="D16" i="15"/>
  <c r="F16" i="15" s="1"/>
  <c r="T15" i="15"/>
  <c r="W15" i="15" s="1"/>
  <c r="M15" i="15"/>
  <c r="P15" i="15" s="1"/>
  <c r="K15" i="15"/>
  <c r="E15" i="15"/>
  <c r="D15" i="15"/>
  <c r="F15" i="15" s="1"/>
  <c r="T14" i="15"/>
  <c r="W14" i="15" s="1"/>
  <c r="M14" i="15"/>
  <c r="P14" i="15" s="1"/>
  <c r="K14" i="15"/>
  <c r="E14" i="15"/>
  <c r="D14" i="15"/>
  <c r="F14" i="15" s="1"/>
  <c r="T13" i="15"/>
  <c r="W13" i="15" s="1"/>
  <c r="M13" i="15"/>
  <c r="P13" i="15" s="1"/>
  <c r="K13" i="15"/>
  <c r="E13" i="15"/>
  <c r="D13" i="15"/>
  <c r="F13" i="15" s="1"/>
  <c r="T12" i="15"/>
  <c r="W12" i="15" s="1"/>
  <c r="M12" i="15"/>
  <c r="P12" i="15" s="1"/>
  <c r="K12" i="15"/>
  <c r="E12" i="15"/>
  <c r="D12" i="15"/>
  <c r="F12" i="15" s="1"/>
  <c r="T11" i="15"/>
  <c r="W11" i="15" s="1"/>
  <c r="M11" i="15"/>
  <c r="P11" i="15" s="1"/>
  <c r="K11" i="15"/>
  <c r="E11" i="15"/>
  <c r="D11" i="15"/>
  <c r="F11" i="15" s="1"/>
  <c r="T10" i="15"/>
  <c r="W10" i="15" s="1"/>
  <c r="M10" i="15"/>
  <c r="P10" i="15" s="1"/>
  <c r="K10" i="15"/>
  <c r="E10" i="15"/>
  <c r="D10" i="15"/>
  <c r="F10" i="15" s="1"/>
  <c r="W9" i="15"/>
  <c r="P9" i="15"/>
  <c r="T8" i="15"/>
  <c r="W8" i="15" s="1"/>
  <c r="M8" i="15"/>
  <c r="P8" i="15" s="1"/>
  <c r="K8" i="15"/>
  <c r="E8" i="15"/>
  <c r="D8" i="15"/>
  <c r="F8" i="15" s="1"/>
  <c r="T7" i="15"/>
  <c r="W7" i="15" s="1"/>
  <c r="M7" i="15"/>
  <c r="P7" i="15" s="1"/>
  <c r="K7" i="15"/>
  <c r="E7" i="15"/>
  <c r="D7" i="15"/>
  <c r="F7" i="15" s="1"/>
  <c r="T6" i="15"/>
  <c r="W6" i="15" s="1"/>
  <c r="M6" i="15"/>
  <c r="P6" i="15" s="1"/>
  <c r="K6" i="15"/>
  <c r="E6" i="15"/>
  <c r="D6" i="15"/>
  <c r="F6" i="15" s="1"/>
  <c r="P22" i="15" l="1"/>
  <c r="F22" i="15"/>
  <c r="T18" i="14" l="1"/>
  <c r="W18" i="14" s="1"/>
  <c r="M18" i="14"/>
  <c r="P18" i="14" s="1"/>
  <c r="K18" i="14"/>
  <c r="E18" i="14"/>
  <c r="D18" i="14"/>
  <c r="F18" i="14" s="1"/>
  <c r="T17" i="14"/>
  <c r="W17" i="14" s="1"/>
  <c r="M17" i="14"/>
  <c r="P17" i="14" s="1"/>
  <c r="K17" i="14"/>
  <c r="E17" i="14"/>
  <c r="D17" i="14"/>
  <c r="F17" i="14" s="1"/>
  <c r="T16" i="14"/>
  <c r="W16" i="14" s="1"/>
  <c r="M16" i="14"/>
  <c r="P16" i="14" s="1"/>
  <c r="K16" i="14"/>
  <c r="E16" i="14"/>
  <c r="D16" i="14"/>
  <c r="F16" i="14" s="1"/>
  <c r="T15" i="14"/>
  <c r="W15" i="14" s="1"/>
  <c r="M15" i="14"/>
  <c r="P15" i="14" s="1"/>
  <c r="K15" i="14"/>
  <c r="E15" i="14"/>
  <c r="D15" i="14"/>
  <c r="F15" i="14" s="1"/>
  <c r="T14" i="14"/>
  <c r="W14" i="14" s="1"/>
  <c r="M14" i="14"/>
  <c r="P14" i="14" s="1"/>
  <c r="K14" i="14"/>
  <c r="E14" i="14"/>
  <c r="D14" i="14"/>
  <c r="F14" i="14" s="1"/>
  <c r="T13" i="14"/>
  <c r="W13" i="14" s="1"/>
  <c r="M13" i="14"/>
  <c r="P13" i="14" s="1"/>
  <c r="K13" i="14"/>
  <c r="E13" i="14"/>
  <c r="D13" i="14"/>
  <c r="F13" i="14" s="1"/>
  <c r="T12" i="14"/>
  <c r="W12" i="14" s="1"/>
  <c r="M12" i="14"/>
  <c r="P12" i="14" s="1"/>
  <c r="K12" i="14"/>
  <c r="E12" i="14"/>
  <c r="D12" i="14"/>
  <c r="F12" i="14" s="1"/>
  <c r="T11" i="14"/>
  <c r="W11" i="14" s="1"/>
  <c r="M11" i="14"/>
  <c r="P11" i="14" s="1"/>
  <c r="K11" i="14"/>
  <c r="E11" i="14"/>
  <c r="D11" i="14"/>
  <c r="F11" i="14" s="1"/>
  <c r="T10" i="14"/>
  <c r="W10" i="14" s="1"/>
  <c r="M10" i="14"/>
  <c r="P10" i="14" s="1"/>
  <c r="K10" i="14"/>
  <c r="E10" i="14"/>
  <c r="D10" i="14"/>
  <c r="F10" i="14" s="1"/>
  <c r="W9" i="14"/>
  <c r="P9" i="14"/>
  <c r="T8" i="14"/>
  <c r="W8" i="14" s="1"/>
  <c r="M8" i="14"/>
  <c r="P8" i="14" s="1"/>
  <c r="K8" i="14"/>
  <c r="E8" i="14"/>
  <c r="D8" i="14"/>
  <c r="F8" i="14" s="1"/>
  <c r="T7" i="14"/>
  <c r="W7" i="14" s="1"/>
  <c r="L7" i="14"/>
  <c r="M7" i="14" s="1"/>
  <c r="K7" i="14"/>
  <c r="D7" i="14"/>
  <c r="T6" i="14"/>
  <c r="W6" i="14" s="1"/>
  <c r="M6" i="14"/>
  <c r="P6" i="14" s="1"/>
  <c r="K6" i="14"/>
  <c r="E6" i="14"/>
  <c r="D6" i="14"/>
  <c r="F6" i="14" s="1"/>
  <c r="O7" i="14" l="1"/>
  <c r="T22" i="13"/>
  <c r="W22" i="13" s="1"/>
  <c r="O22" i="13"/>
  <c r="E22" i="13" s="1"/>
  <c r="L22" i="13"/>
  <c r="M22" i="13" s="1"/>
  <c r="P22" i="13" s="1"/>
  <c r="K22" i="13"/>
  <c r="D22" i="13"/>
  <c r="T21" i="13"/>
  <c r="W21" i="13" s="1"/>
  <c r="M21" i="13"/>
  <c r="P21" i="13" s="1"/>
  <c r="K21" i="13"/>
  <c r="E21" i="13"/>
  <c r="D21" i="13"/>
  <c r="F21" i="13" s="1"/>
  <c r="T20" i="13"/>
  <c r="W20" i="13" s="1"/>
  <c r="M20" i="13"/>
  <c r="P20" i="13" s="1"/>
  <c r="K20" i="13"/>
  <c r="E20" i="13"/>
  <c r="D20" i="13"/>
  <c r="F20" i="13" s="1"/>
  <c r="T19" i="13"/>
  <c r="W19" i="13" s="1"/>
  <c r="M19" i="13"/>
  <c r="P19" i="13" s="1"/>
  <c r="K19" i="13"/>
  <c r="E19" i="13"/>
  <c r="D19" i="13"/>
  <c r="F19" i="13" s="1"/>
  <c r="T18" i="13"/>
  <c r="W18" i="13" s="1"/>
  <c r="M18" i="13"/>
  <c r="P18" i="13" s="1"/>
  <c r="K18" i="13"/>
  <c r="E18" i="13"/>
  <c r="D18" i="13"/>
  <c r="F18" i="13" s="1"/>
  <c r="T17" i="13"/>
  <c r="W17" i="13" s="1"/>
  <c r="M17" i="13"/>
  <c r="P17" i="13" s="1"/>
  <c r="K17" i="13"/>
  <c r="E17" i="13"/>
  <c r="D17" i="13"/>
  <c r="F17" i="13" s="1"/>
  <c r="T16" i="13"/>
  <c r="W16" i="13" s="1"/>
  <c r="M16" i="13"/>
  <c r="P16" i="13" s="1"/>
  <c r="K16" i="13"/>
  <c r="E16" i="13"/>
  <c r="D16" i="13"/>
  <c r="F16" i="13" s="1"/>
  <c r="T15" i="13"/>
  <c r="W15" i="13" s="1"/>
  <c r="M15" i="13"/>
  <c r="P15" i="13" s="1"/>
  <c r="K15" i="13"/>
  <c r="E15" i="13"/>
  <c r="D15" i="13"/>
  <c r="F15" i="13" s="1"/>
  <c r="T14" i="13"/>
  <c r="W14" i="13" s="1"/>
  <c r="M14" i="13"/>
  <c r="P14" i="13" s="1"/>
  <c r="K14" i="13"/>
  <c r="E14" i="13"/>
  <c r="D14" i="13"/>
  <c r="F14" i="13" s="1"/>
  <c r="T13" i="13"/>
  <c r="W13" i="13" s="1"/>
  <c r="M13" i="13"/>
  <c r="P13" i="13" s="1"/>
  <c r="K13" i="13"/>
  <c r="E13" i="13"/>
  <c r="D13" i="13"/>
  <c r="F13" i="13" s="1"/>
  <c r="T12" i="13"/>
  <c r="W12" i="13" s="1"/>
  <c r="M12" i="13"/>
  <c r="P12" i="13" s="1"/>
  <c r="K12" i="13"/>
  <c r="E12" i="13"/>
  <c r="D12" i="13"/>
  <c r="F12" i="13" s="1"/>
  <c r="T11" i="13"/>
  <c r="W11" i="13" s="1"/>
  <c r="M11" i="13"/>
  <c r="P11" i="13" s="1"/>
  <c r="K11" i="13"/>
  <c r="E11" i="13"/>
  <c r="D11" i="13"/>
  <c r="F11" i="13" s="1"/>
  <c r="T10" i="13"/>
  <c r="W10" i="13" s="1"/>
  <c r="M10" i="13"/>
  <c r="P10" i="13" s="1"/>
  <c r="K10" i="13"/>
  <c r="E10" i="13"/>
  <c r="D10" i="13"/>
  <c r="F10" i="13" s="1"/>
  <c r="W9" i="13"/>
  <c r="P9" i="13"/>
  <c r="T8" i="13"/>
  <c r="W8" i="13" s="1"/>
  <c r="M8" i="13"/>
  <c r="P8" i="13" s="1"/>
  <c r="K8" i="13"/>
  <c r="E8" i="13"/>
  <c r="D8" i="13"/>
  <c r="F8" i="13" s="1"/>
  <c r="T7" i="13"/>
  <c r="W7" i="13" s="1"/>
  <c r="M7" i="13"/>
  <c r="P7" i="13" s="1"/>
  <c r="K7" i="13"/>
  <c r="E7" i="13"/>
  <c r="D7" i="13"/>
  <c r="F7" i="13" s="1"/>
  <c r="V6" i="13"/>
  <c r="T6" i="13" s="1"/>
  <c r="W6" i="13" s="1"/>
  <c r="M6" i="13"/>
  <c r="P6" i="13" s="1"/>
  <c r="K6" i="13"/>
  <c r="E6" i="13"/>
  <c r="D6" i="13"/>
  <c r="F6" i="13" s="1"/>
  <c r="F22" i="13" l="1"/>
  <c r="F7" i="14"/>
  <c r="E7" i="14"/>
  <c r="P7" i="14"/>
  <c r="T22" i="11" l="1"/>
  <c r="W22" i="11" s="1"/>
  <c r="O22" i="11"/>
  <c r="E22" i="11" s="1"/>
  <c r="L22" i="11"/>
  <c r="M22" i="11" s="1"/>
  <c r="K22" i="11"/>
  <c r="C22" i="11"/>
  <c r="D22" i="11" s="1"/>
  <c r="T21" i="11"/>
  <c r="W21" i="11" s="1"/>
  <c r="M21" i="11"/>
  <c r="P21" i="11" s="1"/>
  <c r="K21" i="11"/>
  <c r="E21" i="11"/>
  <c r="D21" i="11"/>
  <c r="F21" i="11" s="1"/>
  <c r="T20" i="11"/>
  <c r="W20" i="11" s="1"/>
  <c r="M20" i="11"/>
  <c r="P20" i="11" s="1"/>
  <c r="K20" i="11"/>
  <c r="E20" i="11"/>
  <c r="D20" i="11"/>
  <c r="F20" i="11" s="1"/>
  <c r="T19" i="11"/>
  <c r="W19" i="11" s="1"/>
  <c r="M19" i="11"/>
  <c r="P19" i="11" s="1"/>
  <c r="K19" i="11"/>
  <c r="E19" i="11"/>
  <c r="D19" i="11"/>
  <c r="F19" i="11" s="1"/>
  <c r="T18" i="11"/>
  <c r="W18" i="11" s="1"/>
  <c r="M18" i="11"/>
  <c r="P18" i="11" s="1"/>
  <c r="K18" i="11"/>
  <c r="E18" i="11"/>
  <c r="D18" i="11"/>
  <c r="F18" i="11" s="1"/>
  <c r="T17" i="11"/>
  <c r="W17" i="11" s="1"/>
  <c r="M17" i="11"/>
  <c r="P17" i="11" s="1"/>
  <c r="K17" i="11"/>
  <c r="E17" i="11"/>
  <c r="D17" i="11"/>
  <c r="F17" i="11" s="1"/>
  <c r="T16" i="11"/>
  <c r="W16" i="11" s="1"/>
  <c r="M16" i="11"/>
  <c r="P16" i="11" s="1"/>
  <c r="K16" i="11"/>
  <c r="E16" i="11"/>
  <c r="D16" i="11"/>
  <c r="F16" i="11" s="1"/>
  <c r="T15" i="11"/>
  <c r="W15" i="11" s="1"/>
  <c r="M15" i="11"/>
  <c r="P15" i="11" s="1"/>
  <c r="K15" i="11"/>
  <c r="E15" i="11"/>
  <c r="D15" i="11"/>
  <c r="F15" i="11" s="1"/>
  <c r="T14" i="11"/>
  <c r="W14" i="11" s="1"/>
  <c r="M14" i="11"/>
  <c r="P14" i="11" s="1"/>
  <c r="K14" i="11"/>
  <c r="E14" i="11"/>
  <c r="D14" i="11"/>
  <c r="F14" i="11" s="1"/>
  <c r="T13" i="11"/>
  <c r="W13" i="11" s="1"/>
  <c r="M13" i="11"/>
  <c r="P13" i="11" s="1"/>
  <c r="K13" i="11"/>
  <c r="E13" i="11"/>
  <c r="D13" i="11"/>
  <c r="F13" i="11" s="1"/>
  <c r="T12" i="11"/>
  <c r="W12" i="11" s="1"/>
  <c r="M12" i="11"/>
  <c r="P12" i="11" s="1"/>
  <c r="K12" i="11"/>
  <c r="E12" i="11"/>
  <c r="D12" i="11"/>
  <c r="F12" i="11" s="1"/>
  <c r="T11" i="11"/>
  <c r="W11" i="11" s="1"/>
  <c r="M11" i="11"/>
  <c r="P11" i="11" s="1"/>
  <c r="K11" i="11"/>
  <c r="E11" i="11"/>
  <c r="D11" i="11"/>
  <c r="F11" i="11" s="1"/>
  <c r="T10" i="11"/>
  <c r="W10" i="11" s="1"/>
  <c r="M10" i="11"/>
  <c r="P10" i="11" s="1"/>
  <c r="K10" i="11"/>
  <c r="E10" i="11"/>
  <c r="D10" i="11"/>
  <c r="F10" i="11" s="1"/>
  <c r="W9" i="11"/>
  <c r="P9" i="11"/>
  <c r="T8" i="11"/>
  <c r="W8" i="11" s="1"/>
  <c r="M8" i="11"/>
  <c r="P8" i="11" s="1"/>
  <c r="K8" i="11"/>
  <c r="E8" i="11"/>
  <c r="D8" i="11"/>
  <c r="F8" i="11" s="1"/>
  <c r="T7" i="11"/>
  <c r="W7" i="11" s="1"/>
  <c r="M7" i="11"/>
  <c r="P7" i="11" s="1"/>
  <c r="K7" i="11"/>
  <c r="E7" i="11"/>
  <c r="D7" i="11"/>
  <c r="F7" i="11" s="1"/>
  <c r="T6" i="11"/>
  <c r="W6" i="11" s="1"/>
  <c r="M6" i="11"/>
  <c r="P6" i="11" s="1"/>
  <c r="K6" i="11"/>
  <c r="E6" i="11"/>
  <c r="D6" i="11"/>
  <c r="F6" i="11" s="1"/>
  <c r="P22" i="11" l="1"/>
  <c r="F22" i="11"/>
  <c r="K10" i="2" l="1"/>
  <c r="K9" i="2"/>
  <c r="T22" i="2"/>
  <c r="W22" i="2" s="1"/>
  <c r="T21" i="2"/>
  <c r="W21" i="2" s="1"/>
  <c r="T20" i="2"/>
  <c r="W20" i="2" s="1"/>
  <c r="T19" i="2"/>
  <c r="W19" i="2" s="1"/>
  <c r="T18" i="2"/>
  <c r="W18" i="2" s="1"/>
  <c r="T17" i="2"/>
  <c r="W17" i="2" s="1"/>
  <c r="T16" i="2"/>
  <c r="W16" i="2" s="1"/>
  <c r="T15" i="2"/>
  <c r="W15" i="2" s="1"/>
  <c r="T14" i="2"/>
  <c r="W14" i="2" s="1"/>
  <c r="T13" i="2"/>
  <c r="W13" i="2" s="1"/>
  <c r="T12" i="2"/>
  <c r="W12" i="2" s="1"/>
  <c r="T11" i="2"/>
  <c r="W11" i="2" s="1"/>
  <c r="V10" i="2"/>
  <c r="W10" i="2" s="1"/>
  <c r="W9" i="2"/>
  <c r="T8" i="2"/>
  <c r="W8" i="2" s="1"/>
  <c r="T7" i="2"/>
  <c r="W7" i="2" s="1"/>
  <c r="L22" i="2"/>
  <c r="M22" i="2" s="1"/>
  <c r="O22" i="2"/>
  <c r="E22" i="2" s="1"/>
  <c r="L21" i="2"/>
  <c r="M21" i="2" s="1"/>
  <c r="P21" i="2" s="1"/>
  <c r="M20" i="2"/>
  <c r="P20" i="2" s="1"/>
  <c r="M19" i="2"/>
  <c r="P19" i="2" s="1"/>
  <c r="M18" i="2"/>
  <c r="P18" i="2" s="1"/>
  <c r="M17" i="2"/>
  <c r="P17" i="2" s="1"/>
  <c r="M16" i="2"/>
  <c r="P16" i="2" s="1"/>
  <c r="M15" i="2"/>
  <c r="P15" i="2" s="1"/>
  <c r="M14" i="2"/>
  <c r="P14" i="2" s="1"/>
  <c r="M13" i="2"/>
  <c r="P13" i="2" s="1"/>
  <c r="M12" i="2"/>
  <c r="P12" i="2" s="1"/>
  <c r="M11" i="2"/>
  <c r="P11" i="2" s="1"/>
  <c r="P10" i="2"/>
  <c r="P9" i="2"/>
  <c r="M8" i="2"/>
  <c r="P8" i="2" s="1"/>
  <c r="K22" i="2"/>
  <c r="D22" i="2"/>
  <c r="K21" i="2"/>
  <c r="E21" i="2"/>
  <c r="D21" i="2"/>
  <c r="F21" i="2" s="1"/>
  <c r="K20" i="2"/>
  <c r="E20" i="2"/>
  <c r="D20" i="2"/>
  <c r="F20" i="2" s="1"/>
  <c r="K19" i="2"/>
  <c r="E19" i="2"/>
  <c r="D19" i="2"/>
  <c r="F19" i="2" s="1"/>
  <c r="K18" i="2"/>
  <c r="E18" i="2"/>
  <c r="D18" i="2"/>
  <c r="F18" i="2" s="1"/>
  <c r="K17" i="2"/>
  <c r="E17" i="2"/>
  <c r="D17" i="2"/>
  <c r="F17" i="2" s="1"/>
  <c r="K16" i="2"/>
  <c r="E16" i="2"/>
  <c r="D16" i="2"/>
  <c r="F16" i="2" s="1"/>
  <c r="K15" i="2"/>
  <c r="E15" i="2"/>
  <c r="D15" i="2"/>
  <c r="F15" i="2" s="1"/>
  <c r="K14" i="2"/>
  <c r="E14" i="2"/>
  <c r="D14" i="2"/>
  <c r="F14" i="2" s="1"/>
  <c r="K13" i="2"/>
  <c r="E13" i="2"/>
  <c r="D13" i="2"/>
  <c r="F13" i="2" s="1"/>
  <c r="K12" i="2"/>
  <c r="E12" i="2"/>
  <c r="D12" i="2"/>
  <c r="F12" i="2" s="1"/>
  <c r="K11" i="2"/>
  <c r="E11" i="2"/>
  <c r="D11" i="2"/>
  <c r="F11" i="2" s="1"/>
  <c r="S10" i="2"/>
  <c r="S9" i="2"/>
  <c r="K8" i="2"/>
  <c r="E8" i="2"/>
  <c r="D8" i="2"/>
  <c r="F8" i="2" s="1"/>
  <c r="M7" i="2"/>
  <c r="P7" i="2" s="1"/>
  <c r="K7" i="2"/>
  <c r="E7" i="2"/>
  <c r="D7" i="2"/>
  <c r="F7" i="2" s="1"/>
  <c r="F22" i="2" l="1"/>
  <c r="P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kobrien</author>
    <author>Karen O'Brien</author>
  </authors>
  <commentList>
    <comment ref="B13" authorId="0" shapeId="0" xr:uid="{00000000-0006-0000-0100-000001000000}">
      <text>
        <r>
          <rPr>
            <b/>
            <sz val="8"/>
            <color indexed="81"/>
            <rFont val="Tahoma"/>
            <family val="2"/>
          </rPr>
          <t>ALISE output cell B4</t>
        </r>
        <r>
          <rPr>
            <sz val="8"/>
            <color indexed="81"/>
            <rFont val="Tahoma"/>
            <family val="2"/>
          </rPr>
          <t xml:space="preserve">
</t>
        </r>
      </text>
    </comment>
    <comment ref="B20" authorId="1" shapeId="0" xr:uid="{00000000-0006-0000-0100-000002000000}">
      <text>
        <r>
          <rPr>
            <b/>
            <sz val="8"/>
            <color indexed="81"/>
            <rFont val="Tahoma"/>
            <family val="2"/>
          </rPr>
          <t>From ALISE:
Part I, Item 2, Fall</t>
        </r>
        <r>
          <rPr>
            <sz val="8"/>
            <color indexed="81"/>
            <rFont val="Tahoma"/>
            <family val="2"/>
          </rPr>
          <t xml:space="preserve">
</t>
        </r>
      </text>
    </comment>
    <comment ref="B21" authorId="1" shapeId="0" xr:uid="{00000000-0006-0000-0100-000003000000}">
      <text>
        <r>
          <rPr>
            <b/>
            <sz val="8"/>
            <color indexed="81"/>
            <rFont val="Tahoma"/>
            <family val="2"/>
          </rPr>
          <t>From ALISE:
Part I, Item 2, Fall</t>
        </r>
        <r>
          <rPr>
            <sz val="8"/>
            <color indexed="81"/>
            <rFont val="Tahoma"/>
            <family val="2"/>
          </rPr>
          <t xml:space="preserve">
</t>
        </r>
      </text>
    </comment>
    <comment ref="B22" authorId="1" shapeId="0" xr:uid="{00000000-0006-0000-0100-000004000000}">
      <text>
        <r>
          <rPr>
            <b/>
            <sz val="8"/>
            <color indexed="81"/>
            <rFont val="Tahoma"/>
            <family val="2"/>
          </rPr>
          <t>From ALISE:
Part I, Item 2, Fall</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Karen O'Brien</author>
  </authors>
  <commentList>
    <comment ref="V2" authorId="0" shapeId="0" xr:uid="{00000000-0006-0000-0D00-000001000000}">
      <text>
        <r>
          <rPr>
            <b/>
            <sz val="9"/>
            <color indexed="81"/>
            <rFont val="Tahoma"/>
            <family val="2"/>
          </rPr>
          <t>User:</t>
        </r>
        <r>
          <rPr>
            <sz val="9"/>
            <color indexed="81"/>
            <rFont val="Tahoma"/>
            <family val="2"/>
          </rPr>
          <t xml:space="preserve">
04.6600.6010</t>
        </r>
      </text>
    </comment>
    <comment ref="L9" authorId="1" shapeId="0" xr:uid="{00000000-0006-0000-0D00-000002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Part-Time FTE, ALA only
</t>
        </r>
        <r>
          <rPr>
            <sz val="8"/>
            <color rgb="FF000000"/>
            <rFont val="Tahoma"/>
            <family val="2"/>
          </rPr>
          <t xml:space="preserve">
</t>
        </r>
      </text>
    </comment>
    <comment ref="B20" authorId="1" shapeId="0" xr:uid="{00000000-0006-0000-0D00-000003000000}">
      <text>
        <r>
          <rPr>
            <b/>
            <sz val="8"/>
            <color indexed="81"/>
            <rFont val="Tahoma"/>
            <family val="2"/>
          </rPr>
          <t>From ALISE:
Part I, Item 2, Fall</t>
        </r>
        <r>
          <rPr>
            <sz val="8"/>
            <color indexed="81"/>
            <rFont val="Tahoma"/>
            <family val="2"/>
          </rPr>
          <t xml:space="preserve">
</t>
        </r>
      </text>
    </comment>
    <comment ref="C20" authorId="1" shapeId="0" xr:uid="{00000000-0006-0000-0D00-000004000000}">
      <text>
        <r>
          <rPr>
            <b/>
            <sz val="8"/>
            <color indexed="81"/>
            <rFont val="Tahoma"/>
            <family val="2"/>
          </rPr>
          <t>From ALISE:
Part I, Item 3, Fall</t>
        </r>
        <r>
          <rPr>
            <sz val="8"/>
            <color indexed="81"/>
            <rFont val="Tahoma"/>
            <family val="2"/>
          </rPr>
          <t xml:space="preserve">
</t>
        </r>
      </text>
    </comment>
    <comment ref="I20" authorId="1" shapeId="0" xr:uid="{00000000-0006-0000-0D00-000005000000}">
      <text>
        <r>
          <rPr>
            <b/>
            <sz val="8"/>
            <color indexed="81"/>
            <rFont val="Tahoma"/>
            <family val="2"/>
          </rPr>
          <t>From ALISE:
Part II, Table II-1,
Total  Full-time,
ALA only</t>
        </r>
        <r>
          <rPr>
            <sz val="8"/>
            <color indexed="81"/>
            <rFont val="Tahoma"/>
            <family val="2"/>
          </rPr>
          <t xml:space="preserve">
</t>
        </r>
      </text>
    </comment>
    <comment ref="J20" authorId="1" shapeId="0" xr:uid="{00000000-0006-0000-0D00-000006000000}">
      <text>
        <r>
          <rPr>
            <b/>
            <sz val="8"/>
            <color indexed="81"/>
            <rFont val="Tahoma"/>
            <family val="2"/>
          </rPr>
          <t>From ALISE:
Part II, Table II-1,
Total No. Part-time,
ALA only</t>
        </r>
        <r>
          <rPr>
            <sz val="8"/>
            <color indexed="81"/>
            <rFont val="Tahoma"/>
            <family val="2"/>
          </rPr>
          <t xml:space="preserve">
</t>
        </r>
      </text>
    </comment>
    <comment ref="L20" authorId="1" shapeId="0" xr:uid="{00000000-0006-0000-0D00-000007000000}">
      <text>
        <r>
          <rPr>
            <b/>
            <sz val="8"/>
            <color indexed="81"/>
            <rFont val="Tahoma"/>
            <family val="2"/>
          </rPr>
          <t xml:space="preserve">From ALISE:
Part II, Table II-1,
Total Part-Time FTE, ALA only
</t>
        </r>
        <r>
          <rPr>
            <sz val="8"/>
            <color indexed="81"/>
            <rFont val="Tahoma"/>
            <family val="2"/>
          </rPr>
          <t xml:space="preserve">
</t>
        </r>
      </text>
    </comment>
    <comment ref="N20" authorId="1" shapeId="0" xr:uid="{00000000-0006-0000-0D00-000008000000}">
      <text>
        <r>
          <rPr>
            <b/>
            <sz val="8"/>
            <color indexed="81"/>
            <rFont val="Tahoma"/>
            <family val="2"/>
          </rPr>
          <t xml:space="preserve">From ALISE:
Part II, Table 11-4, Total AI, AP, B, and H,
ALA only  </t>
        </r>
        <r>
          <rPr>
            <sz val="8"/>
            <color indexed="81"/>
            <rFont val="Tahoma"/>
            <family val="2"/>
          </rPr>
          <t xml:space="preserve">
</t>
        </r>
      </text>
    </comment>
    <comment ref="O20" authorId="1" shapeId="0" xr:uid="{00000000-0006-0000-0D00-000009000000}">
      <text>
        <r>
          <rPr>
            <b/>
            <sz val="8"/>
            <color indexed="81"/>
            <rFont val="Tahoma"/>
            <family val="2"/>
          </rPr>
          <t>From ALISE:
Part II, Table II-1, Total FTE, all programs</t>
        </r>
        <r>
          <rPr>
            <sz val="8"/>
            <color indexed="81"/>
            <rFont val="Tahoma"/>
            <family val="2"/>
          </rPr>
          <t xml:space="preserve">
</t>
        </r>
      </text>
    </comment>
    <comment ref="Q20" authorId="1" shapeId="0" xr:uid="{00000000-0006-0000-0D00-00000A000000}">
      <text>
        <r>
          <rPr>
            <b/>
            <sz val="8"/>
            <color indexed="81"/>
            <rFont val="Tahoma"/>
            <family val="2"/>
          </rPr>
          <t>From ALISE:
Part II, Table II-3, Total, ALA only</t>
        </r>
        <r>
          <rPr>
            <sz val="8"/>
            <color indexed="81"/>
            <rFont val="Tahoma"/>
            <family val="2"/>
          </rPr>
          <t xml:space="preserve">
</t>
        </r>
      </text>
    </comment>
    <comment ref="R20" authorId="1" shapeId="0" xr:uid="{00000000-0006-0000-0D00-00000B000000}">
      <text>
        <r>
          <rPr>
            <b/>
            <sz val="8"/>
            <color indexed="81"/>
            <rFont val="Tahoma"/>
            <family val="2"/>
          </rPr>
          <t>From ALISE:
Part II, Table II-3, Total all other programs</t>
        </r>
        <r>
          <rPr>
            <sz val="8"/>
            <color indexed="81"/>
            <rFont val="Tahoma"/>
            <family val="2"/>
          </rPr>
          <t xml:space="preserve">
</t>
        </r>
      </text>
    </comment>
    <comment ref="S20" authorId="1" shapeId="0" xr:uid="{00000000-0006-0000-0D00-00000C000000}">
      <text>
        <r>
          <rPr>
            <b/>
            <sz val="8"/>
            <color indexed="81"/>
            <rFont val="Tahoma"/>
            <family val="2"/>
          </rPr>
          <t>From ALISE:
Part IV, Line 59</t>
        </r>
        <r>
          <rPr>
            <sz val="8"/>
            <color indexed="81"/>
            <rFont val="Tahoma"/>
            <family val="2"/>
          </rPr>
          <t xml:space="preserve">
</t>
        </r>
      </text>
    </comment>
    <comment ref="U20" authorId="1" shapeId="0" xr:uid="{00000000-0006-0000-0D00-00000D000000}">
      <text>
        <r>
          <rPr>
            <b/>
            <sz val="8"/>
            <color indexed="81"/>
            <rFont val="Tahoma"/>
            <family val="2"/>
          </rPr>
          <t>From ALISE:
Part IV, Line 60</t>
        </r>
        <r>
          <rPr>
            <sz val="8"/>
            <color indexed="81"/>
            <rFont val="Tahoma"/>
            <family val="2"/>
          </rPr>
          <t xml:space="preserve">
</t>
        </r>
      </text>
    </comment>
    <comment ref="V20" authorId="1" shapeId="0" xr:uid="{00000000-0006-0000-0D00-00000E000000}">
      <text>
        <r>
          <rPr>
            <b/>
            <sz val="8"/>
            <color indexed="81"/>
            <rFont val="Tahoma"/>
            <family val="2"/>
          </rPr>
          <t>From ALISE:
Part IV, Total lines 61, 62, 63, 64, and 68</t>
        </r>
        <r>
          <rPr>
            <sz val="8"/>
            <color indexed="81"/>
            <rFont val="Tahoma"/>
            <family val="2"/>
          </rPr>
          <t xml:space="preserve">
</t>
        </r>
      </text>
    </comment>
    <comment ref="B22" authorId="1" shapeId="0" xr:uid="{00000000-0006-0000-0D00-00000F000000}">
      <text>
        <r>
          <rPr>
            <b/>
            <sz val="8"/>
            <color indexed="81"/>
            <rFont val="Tahoma"/>
            <family val="2"/>
          </rPr>
          <t>From ALISE:
Part I, Item 2, Fall</t>
        </r>
        <r>
          <rPr>
            <sz val="8"/>
            <color indexed="81"/>
            <rFont val="Tahoma"/>
            <family val="2"/>
          </rPr>
          <t xml:space="preserve">
</t>
        </r>
      </text>
    </comment>
    <comment ref="C22" authorId="1" shapeId="0" xr:uid="{00000000-0006-0000-0D00-000010000000}">
      <text>
        <r>
          <rPr>
            <b/>
            <sz val="8"/>
            <color indexed="81"/>
            <rFont val="Tahoma"/>
            <family val="2"/>
          </rPr>
          <t>From ALISE:
Part I, Item 3, Fall</t>
        </r>
        <r>
          <rPr>
            <sz val="8"/>
            <color indexed="81"/>
            <rFont val="Tahoma"/>
            <family val="2"/>
          </rPr>
          <t xml:space="preserve">
</t>
        </r>
      </text>
    </comment>
    <comment ref="I22" authorId="1" shapeId="0" xr:uid="{00000000-0006-0000-0D00-000011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0D00-000012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0D00-000013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0D00-000014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0D00-000015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0D00-000016000000}">
      <text>
        <r>
          <rPr>
            <b/>
            <sz val="8"/>
            <color indexed="81"/>
            <rFont val="Tahoma"/>
            <family val="2"/>
          </rPr>
          <t>From ALISE:
Part II, Table II-3, Total, ALA only</t>
        </r>
        <r>
          <rPr>
            <sz val="8"/>
            <color indexed="81"/>
            <rFont val="Tahoma"/>
            <family val="2"/>
          </rPr>
          <t xml:space="preserve">
</t>
        </r>
      </text>
    </comment>
    <comment ref="R22" authorId="1" shapeId="0" xr:uid="{00000000-0006-0000-0D00-000017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0D00-000018000000}">
      <text>
        <r>
          <rPr>
            <b/>
            <sz val="8"/>
            <color indexed="81"/>
            <rFont val="Tahoma"/>
            <family val="2"/>
          </rPr>
          <t>From ALISE:
Part IV, Line 59</t>
        </r>
        <r>
          <rPr>
            <sz val="8"/>
            <color indexed="81"/>
            <rFont val="Tahoma"/>
            <family val="2"/>
          </rPr>
          <t xml:space="preserve">
</t>
        </r>
      </text>
    </comment>
    <comment ref="U22" authorId="1" shapeId="0" xr:uid="{00000000-0006-0000-0D00-000019000000}">
      <text>
        <r>
          <rPr>
            <b/>
            <sz val="8"/>
            <color indexed="81"/>
            <rFont val="Tahoma"/>
            <family val="2"/>
          </rPr>
          <t>From ALISE:
Part IV, Line 60</t>
        </r>
        <r>
          <rPr>
            <sz val="8"/>
            <color indexed="81"/>
            <rFont val="Tahoma"/>
            <family val="2"/>
          </rPr>
          <t xml:space="preserve">
</t>
        </r>
      </text>
    </comment>
    <comment ref="V22" authorId="1" shapeId="0" xr:uid="{00000000-0006-0000-0D00-00001A000000}">
      <text>
        <r>
          <rPr>
            <b/>
            <sz val="8"/>
            <color indexed="81"/>
            <rFont val="Tahoma"/>
            <family val="2"/>
          </rPr>
          <t>From ALISE:
Part IV, Total lines 61, 62, 63, 64, and 68</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0E00-000001000000}">
      <text>
        <r>
          <rPr>
            <b/>
            <sz val="8"/>
            <color indexed="81"/>
            <rFont val="Tahoma"/>
            <family val="2"/>
          </rPr>
          <t>From ALISE:
Part I, Item 2, Fall</t>
        </r>
        <r>
          <rPr>
            <sz val="8"/>
            <color indexed="81"/>
            <rFont val="Tahoma"/>
            <family val="2"/>
          </rPr>
          <t xml:space="preserve">
</t>
        </r>
      </text>
    </comment>
    <comment ref="C20" authorId="0" shapeId="0" xr:uid="{00000000-0006-0000-0E00-000002000000}">
      <text>
        <r>
          <rPr>
            <b/>
            <sz val="8"/>
            <color indexed="81"/>
            <rFont val="Tahoma"/>
            <family val="2"/>
          </rPr>
          <t>From ALISE:
Part I, Item 3, Fall</t>
        </r>
        <r>
          <rPr>
            <sz val="8"/>
            <color indexed="81"/>
            <rFont val="Tahoma"/>
            <family val="2"/>
          </rPr>
          <t xml:space="preserve">
</t>
        </r>
      </text>
    </comment>
    <comment ref="I20" authorId="0" shapeId="0" xr:uid="{00000000-0006-0000-0E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0E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0E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0E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0E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0E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0E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0E00-00000A000000}">
      <text>
        <r>
          <rPr>
            <b/>
            <sz val="8"/>
            <color indexed="81"/>
            <rFont val="Tahoma"/>
            <family val="2"/>
          </rPr>
          <t>From ALISE:
Part IV, Line 59</t>
        </r>
        <r>
          <rPr>
            <sz val="8"/>
            <color indexed="81"/>
            <rFont val="Tahoma"/>
            <family val="2"/>
          </rPr>
          <t xml:space="preserve">
</t>
        </r>
      </text>
    </comment>
    <comment ref="U20" authorId="0" shapeId="0" xr:uid="{00000000-0006-0000-0E00-00000B000000}">
      <text>
        <r>
          <rPr>
            <b/>
            <sz val="8"/>
            <color indexed="81"/>
            <rFont val="Tahoma"/>
            <family val="2"/>
          </rPr>
          <t>From ALISE:
Part IV, Line 60</t>
        </r>
        <r>
          <rPr>
            <sz val="8"/>
            <color indexed="81"/>
            <rFont val="Tahoma"/>
            <family val="2"/>
          </rPr>
          <t xml:space="preserve">
</t>
        </r>
      </text>
    </comment>
    <comment ref="V20" authorId="0" shapeId="0" xr:uid="{00000000-0006-0000-0E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0E00-00000D000000}">
      <text>
        <r>
          <rPr>
            <b/>
            <sz val="8"/>
            <color indexed="81"/>
            <rFont val="Tahoma"/>
            <family val="2"/>
          </rPr>
          <t>From ALISE:
Part I, Item 2, Fall</t>
        </r>
        <r>
          <rPr>
            <sz val="8"/>
            <color indexed="81"/>
            <rFont val="Tahoma"/>
            <family val="2"/>
          </rPr>
          <t xml:space="preserve">
</t>
        </r>
      </text>
    </comment>
    <comment ref="C22" authorId="0" shapeId="0" xr:uid="{00000000-0006-0000-0E00-00000E000000}">
      <text>
        <r>
          <rPr>
            <b/>
            <sz val="8"/>
            <color indexed="81"/>
            <rFont val="Tahoma"/>
            <family val="2"/>
          </rPr>
          <t>From ALISE:
Part I, Item 3, Fall</t>
        </r>
        <r>
          <rPr>
            <sz val="8"/>
            <color indexed="81"/>
            <rFont val="Tahoma"/>
            <family val="2"/>
          </rPr>
          <t xml:space="preserve">
</t>
        </r>
      </text>
    </comment>
    <comment ref="I22" authorId="0" shapeId="0" xr:uid="{00000000-0006-0000-0E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0E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0E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0E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0E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0E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0E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0E00-000016000000}">
      <text>
        <r>
          <rPr>
            <b/>
            <sz val="8"/>
            <color indexed="81"/>
            <rFont val="Tahoma"/>
            <family val="2"/>
          </rPr>
          <t>From ALISE:
Part IV, Line 59</t>
        </r>
        <r>
          <rPr>
            <sz val="8"/>
            <color indexed="81"/>
            <rFont val="Tahoma"/>
            <family val="2"/>
          </rPr>
          <t xml:space="preserve">
</t>
        </r>
      </text>
    </comment>
    <comment ref="U22" authorId="0" shapeId="0" xr:uid="{00000000-0006-0000-0E00-000017000000}">
      <text>
        <r>
          <rPr>
            <b/>
            <sz val="8"/>
            <color indexed="81"/>
            <rFont val="Tahoma"/>
            <family val="2"/>
          </rPr>
          <t>From ALISE:
Part IV, Line 60</t>
        </r>
        <r>
          <rPr>
            <sz val="8"/>
            <color indexed="81"/>
            <rFont val="Tahoma"/>
            <family val="2"/>
          </rPr>
          <t xml:space="preserve">
</t>
        </r>
      </text>
    </comment>
    <comment ref="V22" authorId="0" shapeId="0" xr:uid="{00000000-0006-0000-0E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1000-000001000000}">
      <text>
        <r>
          <rPr>
            <b/>
            <sz val="8"/>
            <color indexed="81"/>
            <rFont val="Tahoma"/>
            <family val="2"/>
          </rPr>
          <t>From ALISE:
Part I, Item 2, Fall</t>
        </r>
        <r>
          <rPr>
            <sz val="8"/>
            <color indexed="81"/>
            <rFont val="Tahoma"/>
            <family val="2"/>
          </rPr>
          <t xml:space="preserve">
</t>
        </r>
      </text>
    </comment>
    <comment ref="C20" authorId="0" shapeId="0" xr:uid="{00000000-0006-0000-1000-000002000000}">
      <text>
        <r>
          <rPr>
            <b/>
            <sz val="8"/>
            <color indexed="81"/>
            <rFont val="Tahoma"/>
            <family val="2"/>
          </rPr>
          <t>From ALISE:
Part I, Item 3, Fall</t>
        </r>
        <r>
          <rPr>
            <sz val="8"/>
            <color indexed="81"/>
            <rFont val="Tahoma"/>
            <family val="2"/>
          </rPr>
          <t xml:space="preserve">
</t>
        </r>
      </text>
    </comment>
    <comment ref="I20" authorId="0" shapeId="0" xr:uid="{00000000-0006-0000-10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0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10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10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10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0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0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1000-00000A000000}">
      <text>
        <r>
          <rPr>
            <b/>
            <sz val="8"/>
            <color indexed="81"/>
            <rFont val="Tahoma"/>
            <family val="2"/>
          </rPr>
          <t>From ALISE:
Part IV, Line 59</t>
        </r>
        <r>
          <rPr>
            <sz val="8"/>
            <color indexed="81"/>
            <rFont val="Tahoma"/>
            <family val="2"/>
          </rPr>
          <t xml:space="preserve">
</t>
        </r>
      </text>
    </comment>
    <comment ref="U20" authorId="0" shapeId="0" xr:uid="{00000000-0006-0000-1000-00000B000000}">
      <text>
        <r>
          <rPr>
            <b/>
            <sz val="8"/>
            <color indexed="81"/>
            <rFont val="Tahoma"/>
            <family val="2"/>
          </rPr>
          <t>From ALISE:
Part IV, Line 60</t>
        </r>
        <r>
          <rPr>
            <sz val="8"/>
            <color indexed="81"/>
            <rFont val="Tahoma"/>
            <family val="2"/>
          </rPr>
          <t xml:space="preserve">
</t>
        </r>
      </text>
    </comment>
    <comment ref="V20" authorId="0" shapeId="0" xr:uid="{00000000-0006-0000-1000-00000C000000}">
      <text>
        <r>
          <rPr>
            <b/>
            <sz val="8"/>
            <color indexed="81"/>
            <rFont val="Tahoma"/>
            <family val="2"/>
          </rPr>
          <t>From ALISE:
Part IV, Total lines 61, 62, 63, 64, and 68</t>
        </r>
        <r>
          <rPr>
            <sz val="8"/>
            <color indexed="81"/>
            <rFont val="Tahoma"/>
            <family val="2"/>
          </rPr>
          <t xml:space="preserve">
</t>
        </r>
      </text>
    </comment>
    <comment ref="B21" authorId="0" shapeId="0" xr:uid="{00000000-0006-0000-1000-00000D000000}">
      <text>
        <r>
          <rPr>
            <b/>
            <sz val="8"/>
            <color indexed="81"/>
            <rFont val="Tahoma"/>
            <family val="2"/>
          </rPr>
          <t>From ALISE:
Part I, Item 2, Fall</t>
        </r>
        <r>
          <rPr>
            <sz val="8"/>
            <color indexed="81"/>
            <rFont val="Tahoma"/>
            <family val="2"/>
          </rPr>
          <t xml:space="preserve">
</t>
        </r>
      </text>
    </comment>
    <comment ref="C21" authorId="0" shapeId="0" xr:uid="{00000000-0006-0000-1000-00000E000000}">
      <text>
        <r>
          <rPr>
            <b/>
            <sz val="8"/>
            <color indexed="81"/>
            <rFont val="Tahoma"/>
            <family val="2"/>
          </rPr>
          <t>From ALISE:
Part I, Item 3, Fall</t>
        </r>
        <r>
          <rPr>
            <sz val="8"/>
            <color indexed="81"/>
            <rFont val="Tahoma"/>
            <family val="2"/>
          </rPr>
          <t xml:space="preserve">
</t>
        </r>
      </text>
    </comment>
    <comment ref="I21" authorId="0" shapeId="0" xr:uid="{00000000-0006-0000-1000-00000F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000-000010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000-000011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000-000012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000-000013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000-000014000000}">
      <text>
        <r>
          <rPr>
            <b/>
            <sz val="8"/>
            <color indexed="81"/>
            <rFont val="Tahoma"/>
            <family val="2"/>
          </rPr>
          <t>From ALISE:
Part II, Table II-3, Total, ALA only</t>
        </r>
        <r>
          <rPr>
            <sz val="8"/>
            <color indexed="81"/>
            <rFont val="Tahoma"/>
            <family val="2"/>
          </rPr>
          <t xml:space="preserve">
</t>
        </r>
      </text>
    </comment>
    <comment ref="R21" authorId="0" shapeId="0" xr:uid="{00000000-0006-0000-1000-000015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000-000016000000}">
      <text>
        <r>
          <rPr>
            <b/>
            <sz val="8"/>
            <color indexed="81"/>
            <rFont val="Tahoma"/>
            <family val="2"/>
          </rPr>
          <t>From ALISE:
Part IV, Line 59</t>
        </r>
        <r>
          <rPr>
            <sz val="8"/>
            <color indexed="81"/>
            <rFont val="Tahoma"/>
            <family val="2"/>
          </rPr>
          <t xml:space="preserve">
</t>
        </r>
      </text>
    </comment>
    <comment ref="U21" authorId="0" shapeId="0" xr:uid="{00000000-0006-0000-1000-000017000000}">
      <text>
        <r>
          <rPr>
            <b/>
            <sz val="8"/>
            <color indexed="81"/>
            <rFont val="Tahoma"/>
            <family val="2"/>
          </rPr>
          <t>From ALISE:
Part IV, Line 60</t>
        </r>
        <r>
          <rPr>
            <sz val="8"/>
            <color indexed="81"/>
            <rFont val="Tahoma"/>
            <family val="2"/>
          </rPr>
          <t xml:space="preserve">
</t>
        </r>
      </text>
    </comment>
    <comment ref="V21" authorId="0" shapeId="0" xr:uid="{00000000-0006-0000-1000-000018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000-000019000000}">
      <text>
        <r>
          <rPr>
            <b/>
            <sz val="8"/>
            <color indexed="81"/>
            <rFont val="Tahoma"/>
            <family val="2"/>
          </rPr>
          <t>From ALISE:
Part I, Item 2, Fall</t>
        </r>
        <r>
          <rPr>
            <sz val="8"/>
            <color indexed="81"/>
            <rFont val="Tahoma"/>
            <family val="2"/>
          </rPr>
          <t xml:space="preserve">
</t>
        </r>
      </text>
    </comment>
    <comment ref="C22" authorId="0" shapeId="0" xr:uid="{00000000-0006-0000-1000-00001A000000}">
      <text>
        <r>
          <rPr>
            <b/>
            <sz val="8"/>
            <color indexed="81"/>
            <rFont val="Tahoma"/>
            <family val="2"/>
          </rPr>
          <t>From ALISE:
Part I, Item 3, Fall</t>
        </r>
        <r>
          <rPr>
            <sz val="8"/>
            <color indexed="81"/>
            <rFont val="Tahoma"/>
            <family val="2"/>
          </rPr>
          <t xml:space="preserve">
</t>
        </r>
      </text>
    </comment>
    <comment ref="I22" authorId="0" shapeId="0" xr:uid="{00000000-0006-0000-1000-00001B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000-00001C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000-00001D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000-00001E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000-00001F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000-000020000000}">
      <text>
        <r>
          <rPr>
            <b/>
            <sz val="8"/>
            <color indexed="81"/>
            <rFont val="Tahoma"/>
            <family val="2"/>
          </rPr>
          <t>From ALISE:
Part II, Table II-3, Total, ALA only</t>
        </r>
        <r>
          <rPr>
            <sz val="8"/>
            <color indexed="81"/>
            <rFont val="Tahoma"/>
            <family val="2"/>
          </rPr>
          <t xml:space="preserve">
</t>
        </r>
      </text>
    </comment>
    <comment ref="R22" authorId="0" shapeId="0" xr:uid="{00000000-0006-0000-1000-000021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000-000022000000}">
      <text>
        <r>
          <rPr>
            <b/>
            <sz val="8"/>
            <color indexed="81"/>
            <rFont val="Tahoma"/>
            <family val="2"/>
          </rPr>
          <t>From ALISE:
Part IV, Line 59</t>
        </r>
        <r>
          <rPr>
            <sz val="8"/>
            <color indexed="81"/>
            <rFont val="Tahoma"/>
            <family val="2"/>
          </rPr>
          <t xml:space="preserve">
</t>
        </r>
      </text>
    </comment>
    <comment ref="U22" authorId="0" shapeId="0" xr:uid="{00000000-0006-0000-1000-000023000000}">
      <text>
        <r>
          <rPr>
            <b/>
            <sz val="8"/>
            <color indexed="81"/>
            <rFont val="Tahoma"/>
            <family val="2"/>
          </rPr>
          <t>From ALISE:
Part IV, Line 60</t>
        </r>
        <r>
          <rPr>
            <sz val="8"/>
            <color indexed="81"/>
            <rFont val="Tahoma"/>
            <family val="2"/>
          </rPr>
          <t xml:space="preserve">
</t>
        </r>
      </text>
    </comment>
    <comment ref="V22" authorId="0" shapeId="0" xr:uid="{00000000-0006-0000-10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1100-000001000000}">
      <text>
        <r>
          <rPr>
            <b/>
            <sz val="8"/>
            <color indexed="81"/>
            <rFont val="Tahoma"/>
            <family val="2"/>
          </rPr>
          <t>From ALISE:
Part I, Item 2, Fall</t>
        </r>
        <r>
          <rPr>
            <sz val="8"/>
            <color indexed="81"/>
            <rFont val="Tahoma"/>
            <family val="2"/>
          </rPr>
          <t xml:space="preserve">
</t>
        </r>
      </text>
    </comment>
    <comment ref="C20" authorId="0" shapeId="0" xr:uid="{00000000-0006-0000-1100-000002000000}">
      <text>
        <r>
          <rPr>
            <b/>
            <sz val="8"/>
            <color indexed="81"/>
            <rFont val="Tahoma"/>
            <family val="2"/>
          </rPr>
          <t>From ALISE:
Part I, Item 3, Fall</t>
        </r>
        <r>
          <rPr>
            <sz val="8"/>
            <color indexed="81"/>
            <rFont val="Tahoma"/>
            <family val="2"/>
          </rPr>
          <t xml:space="preserve">
</t>
        </r>
      </text>
    </comment>
    <comment ref="I20" authorId="0" shapeId="0" xr:uid="{00000000-0006-0000-11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1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11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1100-000006000000}">
      <text>
        <r>
          <rPr>
            <b/>
            <sz val="8"/>
            <color rgb="FF000000"/>
            <rFont val="Tahoma"/>
            <family val="2"/>
          </rPr>
          <t xml:space="preserve">From ALISE:
</t>
        </r>
        <r>
          <rPr>
            <b/>
            <sz val="8"/>
            <color rgb="FF000000"/>
            <rFont val="Tahoma"/>
            <family val="2"/>
          </rPr>
          <t xml:space="preserve">Part II, Table 11-4, Total AI, AP, B, and H,
</t>
        </r>
        <r>
          <rPr>
            <b/>
            <sz val="8"/>
            <color rgb="FF000000"/>
            <rFont val="Tahoma"/>
            <family val="2"/>
          </rPr>
          <t xml:space="preserve">ALA only  </t>
        </r>
        <r>
          <rPr>
            <sz val="8"/>
            <color rgb="FF000000"/>
            <rFont val="Tahoma"/>
            <family val="2"/>
          </rPr>
          <t xml:space="preserve">
</t>
        </r>
      </text>
    </comment>
    <comment ref="O20" authorId="0" shapeId="0" xr:uid="{00000000-0006-0000-11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1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1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1100-00000A000000}">
      <text>
        <r>
          <rPr>
            <b/>
            <sz val="8"/>
            <color indexed="81"/>
            <rFont val="Tahoma"/>
            <family val="2"/>
          </rPr>
          <t>From ALISE:
Part IV, Line 59</t>
        </r>
        <r>
          <rPr>
            <sz val="8"/>
            <color indexed="81"/>
            <rFont val="Tahoma"/>
            <family val="2"/>
          </rPr>
          <t xml:space="preserve">
</t>
        </r>
      </text>
    </comment>
    <comment ref="U20" authorId="0" shapeId="0" xr:uid="{00000000-0006-0000-1100-00000B000000}">
      <text>
        <r>
          <rPr>
            <b/>
            <sz val="8"/>
            <color indexed="81"/>
            <rFont val="Tahoma"/>
            <family val="2"/>
          </rPr>
          <t>From ALISE:
Part IV, Line 60</t>
        </r>
        <r>
          <rPr>
            <sz val="8"/>
            <color indexed="81"/>
            <rFont val="Tahoma"/>
            <family val="2"/>
          </rPr>
          <t xml:space="preserve">
</t>
        </r>
      </text>
    </comment>
    <comment ref="V20" authorId="0" shapeId="0" xr:uid="{00000000-0006-0000-11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100-00000D000000}">
      <text>
        <r>
          <rPr>
            <b/>
            <sz val="8"/>
            <color indexed="81"/>
            <rFont val="Tahoma"/>
            <family val="2"/>
          </rPr>
          <t>From ALISE:
Part I, Item 2, Fall</t>
        </r>
        <r>
          <rPr>
            <sz val="8"/>
            <color indexed="81"/>
            <rFont val="Tahoma"/>
            <family val="2"/>
          </rPr>
          <t xml:space="preserve">
</t>
        </r>
      </text>
    </comment>
    <comment ref="C22" authorId="0" shapeId="0" xr:uid="{00000000-0006-0000-1100-00000E000000}">
      <text>
        <r>
          <rPr>
            <b/>
            <sz val="8"/>
            <color indexed="81"/>
            <rFont val="Tahoma"/>
            <family val="2"/>
          </rPr>
          <t>From ALISE:
Part I, Item 3, Fall</t>
        </r>
        <r>
          <rPr>
            <sz val="8"/>
            <color indexed="81"/>
            <rFont val="Tahoma"/>
            <family val="2"/>
          </rPr>
          <t xml:space="preserve">
</t>
        </r>
      </text>
    </comment>
    <comment ref="I22" authorId="0" shapeId="0" xr:uid="{00000000-0006-0000-11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1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1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1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1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1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11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100-000016000000}">
      <text>
        <r>
          <rPr>
            <b/>
            <sz val="8"/>
            <color indexed="81"/>
            <rFont val="Tahoma"/>
            <family val="2"/>
          </rPr>
          <t>From ALISE:
Part IV, Line 59</t>
        </r>
        <r>
          <rPr>
            <sz val="8"/>
            <color indexed="81"/>
            <rFont val="Tahoma"/>
            <family val="2"/>
          </rPr>
          <t xml:space="preserve">
</t>
        </r>
      </text>
    </comment>
    <comment ref="U22" authorId="0" shapeId="0" xr:uid="{00000000-0006-0000-1100-000017000000}">
      <text>
        <r>
          <rPr>
            <b/>
            <sz val="8"/>
            <color indexed="81"/>
            <rFont val="Tahoma"/>
            <family val="2"/>
          </rPr>
          <t>From ALISE:
Part IV, Line 60</t>
        </r>
        <r>
          <rPr>
            <sz val="8"/>
            <color indexed="81"/>
            <rFont val="Tahoma"/>
            <family val="2"/>
          </rPr>
          <t xml:space="preserve">
</t>
        </r>
      </text>
    </comment>
    <comment ref="V22" authorId="0" shapeId="0" xr:uid="{00000000-0006-0000-11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1200-000001000000}">
      <text>
        <r>
          <rPr>
            <b/>
            <sz val="8"/>
            <color indexed="81"/>
            <rFont val="Tahoma"/>
            <family val="2"/>
          </rPr>
          <t>From ALISE:
Part I, Item 2, Fall</t>
        </r>
        <r>
          <rPr>
            <sz val="8"/>
            <color indexed="81"/>
            <rFont val="Tahoma"/>
            <family val="2"/>
          </rPr>
          <t xml:space="preserve">
</t>
        </r>
      </text>
    </comment>
    <comment ref="C20" authorId="0" shapeId="0" xr:uid="{00000000-0006-0000-1200-000002000000}">
      <text>
        <r>
          <rPr>
            <b/>
            <sz val="8"/>
            <color indexed="81"/>
            <rFont val="Tahoma"/>
            <family val="2"/>
          </rPr>
          <t>From ALISE:
Part I, Item 3, Fall</t>
        </r>
        <r>
          <rPr>
            <sz val="8"/>
            <color indexed="81"/>
            <rFont val="Tahoma"/>
            <family val="2"/>
          </rPr>
          <t xml:space="preserve">
</t>
        </r>
      </text>
    </comment>
    <comment ref="I20" authorId="0" shapeId="0" xr:uid="{00000000-0006-0000-12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200-000004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No. Part-time,
</t>
        </r>
        <r>
          <rPr>
            <b/>
            <sz val="8"/>
            <color rgb="FF000000"/>
            <rFont val="Tahoma"/>
            <family val="2"/>
          </rPr>
          <t>ALA only</t>
        </r>
        <r>
          <rPr>
            <sz val="8"/>
            <color rgb="FF000000"/>
            <rFont val="Tahoma"/>
            <family val="2"/>
          </rPr>
          <t xml:space="preserve">
</t>
        </r>
      </text>
    </comment>
    <comment ref="L20" authorId="0" shapeId="0" xr:uid="{00000000-0006-0000-12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12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12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2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200-000009000000}">
      <text>
        <r>
          <rPr>
            <b/>
            <sz val="8"/>
            <color indexed="81"/>
            <rFont val="Tahoma"/>
            <family val="2"/>
          </rPr>
          <t>From ALISE:
Part II, Table II-3, Total all other programs</t>
        </r>
        <r>
          <rPr>
            <sz val="8"/>
            <color indexed="81"/>
            <rFont val="Tahoma"/>
            <family val="2"/>
          </rPr>
          <t xml:space="preserve">
</t>
        </r>
      </text>
    </comment>
    <comment ref="B21" authorId="0" shapeId="0" xr:uid="{00000000-0006-0000-1200-00000A000000}">
      <text>
        <r>
          <rPr>
            <b/>
            <sz val="8"/>
            <color indexed="81"/>
            <rFont val="Tahoma"/>
            <family val="2"/>
          </rPr>
          <t>From ALISE:
Part I, Item 2, Fall</t>
        </r>
        <r>
          <rPr>
            <sz val="8"/>
            <color indexed="81"/>
            <rFont val="Tahoma"/>
            <family val="2"/>
          </rPr>
          <t xml:space="preserve">
</t>
        </r>
      </text>
    </comment>
    <comment ref="C21" authorId="0" shapeId="0" xr:uid="{00000000-0006-0000-1200-00000B000000}">
      <text>
        <r>
          <rPr>
            <b/>
            <sz val="8"/>
            <color indexed="81"/>
            <rFont val="Tahoma"/>
            <family val="2"/>
          </rPr>
          <t>From ALISE:
Part I, Item 3, Fall</t>
        </r>
        <r>
          <rPr>
            <sz val="8"/>
            <color indexed="81"/>
            <rFont val="Tahoma"/>
            <family val="2"/>
          </rPr>
          <t xml:space="preserve">
</t>
        </r>
      </text>
    </comment>
    <comment ref="I21" authorId="0" shapeId="0" xr:uid="{00000000-0006-0000-1200-00000C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200-00000D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200-00000E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200-00000F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200-000010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200-000011000000}">
      <text>
        <r>
          <rPr>
            <b/>
            <sz val="8"/>
            <color indexed="81"/>
            <rFont val="Tahoma"/>
            <family val="2"/>
          </rPr>
          <t>From ALISE:
Part II, Table II-3, Total, ALA only</t>
        </r>
        <r>
          <rPr>
            <sz val="8"/>
            <color indexed="81"/>
            <rFont val="Tahoma"/>
            <family val="2"/>
          </rPr>
          <t xml:space="preserve">
</t>
        </r>
      </text>
    </comment>
    <comment ref="R21" authorId="0" shapeId="0" xr:uid="{00000000-0006-0000-1200-000012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200-000013000000}">
      <text>
        <r>
          <rPr>
            <b/>
            <sz val="8"/>
            <color indexed="81"/>
            <rFont val="Tahoma"/>
            <family val="2"/>
          </rPr>
          <t>From ALISE:
Part IV, Line 59</t>
        </r>
        <r>
          <rPr>
            <sz val="8"/>
            <color indexed="81"/>
            <rFont val="Tahoma"/>
            <family val="2"/>
          </rPr>
          <t xml:space="preserve">
</t>
        </r>
      </text>
    </comment>
    <comment ref="U21" authorId="0" shapeId="0" xr:uid="{00000000-0006-0000-1200-000014000000}">
      <text>
        <r>
          <rPr>
            <b/>
            <sz val="8"/>
            <color indexed="81"/>
            <rFont val="Tahoma"/>
            <family val="2"/>
          </rPr>
          <t>From ALISE:
Part IV, Line 60</t>
        </r>
        <r>
          <rPr>
            <sz val="8"/>
            <color indexed="81"/>
            <rFont val="Tahoma"/>
            <family val="2"/>
          </rPr>
          <t xml:space="preserve">
</t>
        </r>
      </text>
    </comment>
    <comment ref="V21" authorId="0" shapeId="0" xr:uid="{00000000-0006-0000-1200-000015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200-000016000000}">
      <text>
        <r>
          <rPr>
            <b/>
            <sz val="8"/>
            <color indexed="81"/>
            <rFont val="Tahoma"/>
            <family val="2"/>
          </rPr>
          <t>From ALISE:
Part I, Item 2, Fall</t>
        </r>
        <r>
          <rPr>
            <sz val="8"/>
            <color indexed="81"/>
            <rFont val="Tahoma"/>
            <family val="2"/>
          </rPr>
          <t xml:space="preserve">
</t>
        </r>
      </text>
    </comment>
    <comment ref="C22" authorId="0" shapeId="0" xr:uid="{00000000-0006-0000-1200-000017000000}">
      <text>
        <r>
          <rPr>
            <b/>
            <sz val="8"/>
            <color indexed="81"/>
            <rFont val="Tahoma"/>
            <family val="2"/>
          </rPr>
          <t>From ALISE:
Part I, Item 3, Fall</t>
        </r>
        <r>
          <rPr>
            <sz val="8"/>
            <color indexed="81"/>
            <rFont val="Tahoma"/>
            <family val="2"/>
          </rPr>
          <t xml:space="preserve">
</t>
        </r>
      </text>
    </comment>
    <comment ref="I22" authorId="0" shapeId="0" xr:uid="{00000000-0006-0000-1200-000018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200-000019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200-00001A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200-00001B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200-00001C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200-00001D000000}">
      <text>
        <r>
          <rPr>
            <b/>
            <sz val="8"/>
            <color indexed="81"/>
            <rFont val="Tahoma"/>
            <family val="2"/>
          </rPr>
          <t>From ALISE:
Part II, Table II-3, Total, ALA only</t>
        </r>
        <r>
          <rPr>
            <sz val="8"/>
            <color indexed="81"/>
            <rFont val="Tahoma"/>
            <family val="2"/>
          </rPr>
          <t xml:space="preserve">
</t>
        </r>
      </text>
    </comment>
    <comment ref="R22" authorId="0" shapeId="0" xr:uid="{00000000-0006-0000-1200-00001E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200-00001F000000}">
      <text>
        <r>
          <rPr>
            <b/>
            <sz val="8"/>
            <color indexed="81"/>
            <rFont val="Tahoma"/>
            <family val="2"/>
          </rPr>
          <t>From ALISE:
Part IV, Line 59</t>
        </r>
        <r>
          <rPr>
            <sz val="8"/>
            <color indexed="81"/>
            <rFont val="Tahoma"/>
            <family val="2"/>
          </rPr>
          <t xml:space="preserve">
</t>
        </r>
      </text>
    </comment>
    <comment ref="U22" authorId="0" shapeId="0" xr:uid="{00000000-0006-0000-1200-000020000000}">
      <text>
        <r>
          <rPr>
            <b/>
            <sz val="8"/>
            <color indexed="81"/>
            <rFont val="Tahoma"/>
            <family val="2"/>
          </rPr>
          <t>From ALISE:
Part IV, Line 60</t>
        </r>
        <r>
          <rPr>
            <sz val="8"/>
            <color indexed="81"/>
            <rFont val="Tahoma"/>
            <family val="2"/>
          </rPr>
          <t xml:space="preserve">
</t>
        </r>
      </text>
    </comment>
    <comment ref="V22" authorId="0" shapeId="0" xr:uid="{00000000-0006-0000-1200-000021000000}">
      <text>
        <r>
          <rPr>
            <b/>
            <sz val="8"/>
            <color indexed="81"/>
            <rFont val="Tahoma"/>
            <family val="2"/>
          </rPr>
          <t>From ALISE:
Part IV, Total lines 61, 62, 63, 64, and 68</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1300-000001000000}">
      <text>
        <r>
          <rPr>
            <b/>
            <sz val="8"/>
            <color indexed="81"/>
            <rFont val="Tahoma"/>
            <family val="2"/>
          </rPr>
          <t>From ALISE:
Part I, Item 2, Fall</t>
        </r>
        <r>
          <rPr>
            <sz val="8"/>
            <color indexed="81"/>
            <rFont val="Tahoma"/>
            <family val="2"/>
          </rPr>
          <t xml:space="preserve">
</t>
        </r>
      </text>
    </comment>
    <comment ref="C20" authorId="0" shapeId="0" xr:uid="{00000000-0006-0000-1300-000002000000}">
      <text>
        <r>
          <rPr>
            <b/>
            <sz val="8"/>
            <color indexed="81"/>
            <rFont val="Tahoma"/>
            <family val="2"/>
          </rPr>
          <t>From ALISE:
Part I, Item 3, Fall</t>
        </r>
        <r>
          <rPr>
            <sz val="8"/>
            <color indexed="81"/>
            <rFont val="Tahoma"/>
            <family val="2"/>
          </rPr>
          <t xml:space="preserve">
</t>
        </r>
      </text>
    </comment>
    <comment ref="I20" authorId="0" shapeId="0" xr:uid="{00000000-0006-0000-13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3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13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13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13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3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3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1300-00000A000000}">
      <text>
        <r>
          <rPr>
            <b/>
            <sz val="8"/>
            <color indexed="81"/>
            <rFont val="Tahoma"/>
            <family val="2"/>
          </rPr>
          <t>From ALISE:
Part IV, Line 59</t>
        </r>
        <r>
          <rPr>
            <sz val="8"/>
            <color indexed="81"/>
            <rFont val="Tahoma"/>
            <family val="2"/>
          </rPr>
          <t xml:space="preserve">
</t>
        </r>
      </text>
    </comment>
    <comment ref="U20" authorId="0" shapeId="0" xr:uid="{00000000-0006-0000-1300-00000B000000}">
      <text>
        <r>
          <rPr>
            <b/>
            <sz val="8"/>
            <color indexed="81"/>
            <rFont val="Tahoma"/>
            <family val="2"/>
          </rPr>
          <t>From ALISE:
Part IV, Line 60</t>
        </r>
        <r>
          <rPr>
            <sz val="8"/>
            <color indexed="81"/>
            <rFont val="Tahoma"/>
            <family val="2"/>
          </rPr>
          <t xml:space="preserve">
</t>
        </r>
      </text>
    </comment>
    <comment ref="V20" authorId="0" shapeId="0" xr:uid="{00000000-0006-0000-13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300-00000D000000}">
      <text>
        <r>
          <rPr>
            <b/>
            <sz val="8"/>
            <color indexed="81"/>
            <rFont val="Tahoma"/>
            <family val="2"/>
          </rPr>
          <t>From ALISE:
Part I, Item 2, Fall</t>
        </r>
        <r>
          <rPr>
            <sz val="8"/>
            <color indexed="81"/>
            <rFont val="Tahoma"/>
            <family val="2"/>
          </rPr>
          <t xml:space="preserve">
</t>
        </r>
      </text>
    </comment>
    <comment ref="C22" authorId="0" shapeId="0" xr:uid="{00000000-0006-0000-1300-00000E000000}">
      <text>
        <r>
          <rPr>
            <b/>
            <sz val="8"/>
            <color indexed="81"/>
            <rFont val="Tahoma"/>
            <family val="2"/>
          </rPr>
          <t>From ALISE:
Part I, Item 3, Fall</t>
        </r>
        <r>
          <rPr>
            <sz val="8"/>
            <color indexed="81"/>
            <rFont val="Tahoma"/>
            <family val="2"/>
          </rPr>
          <t xml:space="preserve">
</t>
        </r>
      </text>
    </comment>
    <comment ref="I22" authorId="0" shapeId="0" xr:uid="{00000000-0006-0000-13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3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3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3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3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3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13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300-000016000000}">
      <text>
        <r>
          <rPr>
            <b/>
            <sz val="8"/>
            <color indexed="81"/>
            <rFont val="Tahoma"/>
            <family val="2"/>
          </rPr>
          <t>From ALISE:
Part IV, Line 59</t>
        </r>
        <r>
          <rPr>
            <sz val="8"/>
            <color indexed="81"/>
            <rFont val="Tahoma"/>
            <family val="2"/>
          </rPr>
          <t xml:space="preserve">
</t>
        </r>
      </text>
    </comment>
    <comment ref="U22" authorId="0" shapeId="0" xr:uid="{00000000-0006-0000-1300-000017000000}">
      <text>
        <r>
          <rPr>
            <b/>
            <sz val="8"/>
            <color indexed="81"/>
            <rFont val="Tahoma"/>
            <family val="2"/>
          </rPr>
          <t>From ALISE:
Part IV, Line 60</t>
        </r>
        <r>
          <rPr>
            <sz val="8"/>
            <color indexed="81"/>
            <rFont val="Tahoma"/>
            <family val="2"/>
          </rPr>
          <t xml:space="preserve">
</t>
        </r>
      </text>
    </comment>
    <comment ref="V22" authorId="0" shapeId="0" xr:uid="{00000000-0006-0000-13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2" authorId="0" shapeId="0" xr:uid="{00000000-0006-0000-1400-000001000000}">
      <text>
        <r>
          <rPr>
            <b/>
            <sz val="8"/>
            <color indexed="81"/>
            <rFont val="Tahoma"/>
            <family val="2"/>
          </rPr>
          <t>From ALISE:
Part I, Item 2, Fall</t>
        </r>
        <r>
          <rPr>
            <sz val="8"/>
            <color indexed="81"/>
            <rFont val="Tahoma"/>
            <family val="2"/>
          </rPr>
          <t xml:space="preserve">
</t>
        </r>
      </text>
    </comment>
    <comment ref="C22" authorId="0" shapeId="0" xr:uid="{00000000-0006-0000-1400-000002000000}">
      <text>
        <r>
          <rPr>
            <b/>
            <sz val="8"/>
            <color indexed="81"/>
            <rFont val="Tahoma"/>
            <family val="2"/>
          </rPr>
          <t>From ALISE:
Part I, Item 3, Fall</t>
        </r>
        <r>
          <rPr>
            <sz val="8"/>
            <color indexed="81"/>
            <rFont val="Tahoma"/>
            <family val="2"/>
          </rPr>
          <t xml:space="preserve">
</t>
        </r>
      </text>
    </comment>
    <comment ref="I22" authorId="0" shapeId="0" xr:uid="{00000000-0006-0000-1400-000003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400-000004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400-000005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400-000006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400-000007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400-000008000000}">
      <text>
        <r>
          <rPr>
            <b/>
            <sz val="8"/>
            <color indexed="81"/>
            <rFont val="Tahoma"/>
            <family val="2"/>
          </rPr>
          <t>From ALISE:
Part II, Table II-3, Total, ALA only</t>
        </r>
        <r>
          <rPr>
            <sz val="8"/>
            <color indexed="81"/>
            <rFont val="Tahoma"/>
            <family val="2"/>
          </rPr>
          <t xml:space="preserve">
</t>
        </r>
      </text>
    </comment>
    <comment ref="R22" authorId="0" shapeId="0" xr:uid="{00000000-0006-0000-1400-000009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400-00000A000000}">
      <text>
        <r>
          <rPr>
            <b/>
            <sz val="8"/>
            <color indexed="81"/>
            <rFont val="Tahoma"/>
            <family val="2"/>
          </rPr>
          <t>From ALISE:
Part IV, Line 59</t>
        </r>
        <r>
          <rPr>
            <sz val="8"/>
            <color indexed="81"/>
            <rFont val="Tahoma"/>
            <family val="2"/>
          </rPr>
          <t xml:space="preserve">
</t>
        </r>
      </text>
    </comment>
    <comment ref="U22" authorId="0" shapeId="0" xr:uid="{00000000-0006-0000-1400-00000B000000}">
      <text>
        <r>
          <rPr>
            <b/>
            <sz val="8"/>
            <color indexed="81"/>
            <rFont val="Tahoma"/>
            <family val="2"/>
          </rPr>
          <t>From ALISE:
Part IV, Line 60</t>
        </r>
        <r>
          <rPr>
            <sz val="8"/>
            <color indexed="81"/>
            <rFont val="Tahoma"/>
            <family val="2"/>
          </rPr>
          <t xml:space="preserve">
</t>
        </r>
      </text>
    </comment>
    <comment ref="V22" authorId="0" shapeId="0" xr:uid="{00000000-0006-0000-14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1600-000001000000}">
      <text>
        <r>
          <rPr>
            <b/>
            <sz val="8"/>
            <color indexed="81"/>
            <rFont val="Tahoma"/>
            <family val="2"/>
          </rPr>
          <t>From ALISE:
Part I, Item 2, Fall</t>
        </r>
        <r>
          <rPr>
            <sz val="8"/>
            <color indexed="81"/>
            <rFont val="Tahoma"/>
            <family val="2"/>
          </rPr>
          <t xml:space="preserve">
</t>
        </r>
      </text>
    </comment>
    <comment ref="C20" authorId="0" shapeId="0" xr:uid="{00000000-0006-0000-1600-000002000000}">
      <text>
        <r>
          <rPr>
            <b/>
            <sz val="8"/>
            <color indexed="81"/>
            <rFont val="Tahoma"/>
            <family val="2"/>
          </rPr>
          <t>From ALISE:
Part I, Item 3, Fall</t>
        </r>
        <r>
          <rPr>
            <sz val="8"/>
            <color indexed="81"/>
            <rFont val="Tahoma"/>
            <family val="2"/>
          </rPr>
          <t xml:space="preserve">
</t>
        </r>
      </text>
    </comment>
    <comment ref="I20" authorId="0" shapeId="0" xr:uid="{00000000-0006-0000-16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6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16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16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16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6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6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1600-00000A000000}">
      <text>
        <r>
          <rPr>
            <b/>
            <sz val="8"/>
            <color indexed="81"/>
            <rFont val="Tahoma"/>
            <family val="2"/>
          </rPr>
          <t>From ALISE:
Part IV, Line 59</t>
        </r>
        <r>
          <rPr>
            <sz val="8"/>
            <color indexed="81"/>
            <rFont val="Tahoma"/>
            <family val="2"/>
          </rPr>
          <t xml:space="preserve">
</t>
        </r>
      </text>
    </comment>
    <comment ref="U20" authorId="0" shapeId="0" xr:uid="{00000000-0006-0000-1600-00000B000000}">
      <text>
        <r>
          <rPr>
            <b/>
            <sz val="8"/>
            <color indexed="81"/>
            <rFont val="Tahoma"/>
            <family val="2"/>
          </rPr>
          <t>From ALISE:
Part IV, Line 60</t>
        </r>
        <r>
          <rPr>
            <sz val="8"/>
            <color indexed="81"/>
            <rFont val="Tahoma"/>
            <family val="2"/>
          </rPr>
          <t xml:space="preserve">
</t>
        </r>
      </text>
    </comment>
    <comment ref="V20" authorId="0" shapeId="0" xr:uid="{00000000-0006-0000-16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600-00000D000000}">
      <text>
        <r>
          <rPr>
            <b/>
            <sz val="8"/>
            <color indexed="81"/>
            <rFont val="Tahoma"/>
            <family val="2"/>
          </rPr>
          <t>From ALISE:
Part I, Item 2, Fall</t>
        </r>
        <r>
          <rPr>
            <sz val="8"/>
            <color indexed="81"/>
            <rFont val="Tahoma"/>
            <family val="2"/>
          </rPr>
          <t xml:space="preserve">
</t>
        </r>
      </text>
    </comment>
    <comment ref="C22" authorId="0" shapeId="0" xr:uid="{00000000-0006-0000-1600-00000E000000}">
      <text>
        <r>
          <rPr>
            <b/>
            <sz val="8"/>
            <color indexed="81"/>
            <rFont val="Tahoma"/>
            <family val="2"/>
          </rPr>
          <t>From ALISE:
Part I, Item 3, Fall</t>
        </r>
        <r>
          <rPr>
            <sz val="8"/>
            <color indexed="81"/>
            <rFont val="Tahoma"/>
            <family val="2"/>
          </rPr>
          <t xml:space="preserve">
</t>
        </r>
      </text>
    </comment>
    <comment ref="I22" authorId="0" shapeId="0" xr:uid="{00000000-0006-0000-16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6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6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6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6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6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16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600-000016000000}">
      <text>
        <r>
          <rPr>
            <b/>
            <sz val="8"/>
            <color indexed="81"/>
            <rFont val="Tahoma"/>
            <family val="2"/>
          </rPr>
          <t>From ALISE:
Part IV, Line 59</t>
        </r>
        <r>
          <rPr>
            <sz val="8"/>
            <color indexed="81"/>
            <rFont val="Tahoma"/>
            <family val="2"/>
          </rPr>
          <t xml:space="preserve">
</t>
        </r>
      </text>
    </comment>
    <comment ref="U22" authorId="0" shapeId="0" xr:uid="{00000000-0006-0000-1600-000017000000}">
      <text>
        <r>
          <rPr>
            <b/>
            <sz val="8"/>
            <color indexed="81"/>
            <rFont val="Tahoma"/>
            <family val="2"/>
          </rPr>
          <t>From ALISE:
Part IV, Line 60</t>
        </r>
        <r>
          <rPr>
            <sz val="8"/>
            <color indexed="81"/>
            <rFont val="Tahoma"/>
            <family val="2"/>
          </rPr>
          <t xml:space="preserve">
</t>
        </r>
      </text>
    </comment>
    <comment ref="V22" authorId="0" shapeId="0" xr:uid="{00000000-0006-0000-16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1700-000001000000}">
      <text>
        <r>
          <rPr>
            <b/>
            <sz val="8"/>
            <color indexed="81"/>
            <rFont val="Tahoma"/>
            <family val="2"/>
          </rPr>
          <t>From ALISE:
Part I, Item 2, Fall</t>
        </r>
        <r>
          <rPr>
            <sz val="8"/>
            <color indexed="81"/>
            <rFont val="Tahoma"/>
            <family val="2"/>
          </rPr>
          <t xml:space="preserve">
</t>
        </r>
      </text>
    </comment>
    <comment ref="C20" authorId="0" shapeId="0" xr:uid="{00000000-0006-0000-1700-000002000000}">
      <text>
        <r>
          <rPr>
            <b/>
            <sz val="8"/>
            <color indexed="81"/>
            <rFont val="Tahoma"/>
            <family val="2"/>
          </rPr>
          <t>From ALISE:
Part I, Item 3, Fall</t>
        </r>
        <r>
          <rPr>
            <sz val="8"/>
            <color indexed="81"/>
            <rFont val="Tahoma"/>
            <family val="2"/>
          </rPr>
          <t xml:space="preserve">
</t>
        </r>
      </text>
    </comment>
    <comment ref="I20" authorId="0" shapeId="0" xr:uid="{00000000-0006-0000-17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7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17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17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17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7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7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1700-00000A000000}">
      <text>
        <r>
          <rPr>
            <b/>
            <sz val="8"/>
            <color indexed="81"/>
            <rFont val="Tahoma"/>
            <family val="2"/>
          </rPr>
          <t>From ALISE:
Part IV, Line 59</t>
        </r>
        <r>
          <rPr>
            <sz val="8"/>
            <color indexed="81"/>
            <rFont val="Tahoma"/>
            <family val="2"/>
          </rPr>
          <t xml:space="preserve">
</t>
        </r>
      </text>
    </comment>
    <comment ref="U20" authorId="0" shapeId="0" xr:uid="{00000000-0006-0000-1700-00000B000000}">
      <text>
        <r>
          <rPr>
            <b/>
            <sz val="8"/>
            <color indexed="81"/>
            <rFont val="Tahoma"/>
            <family val="2"/>
          </rPr>
          <t>From ALISE:
Part IV, Line 60</t>
        </r>
        <r>
          <rPr>
            <sz val="8"/>
            <color indexed="81"/>
            <rFont val="Tahoma"/>
            <family val="2"/>
          </rPr>
          <t xml:space="preserve">
</t>
        </r>
      </text>
    </comment>
    <comment ref="V20" authorId="0" shapeId="0" xr:uid="{00000000-0006-0000-17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700-00000D000000}">
      <text>
        <r>
          <rPr>
            <b/>
            <sz val="8"/>
            <color indexed="81"/>
            <rFont val="Tahoma"/>
            <family val="2"/>
          </rPr>
          <t>From ALISE:
Part I, Item 2, Fall</t>
        </r>
        <r>
          <rPr>
            <sz val="8"/>
            <color indexed="81"/>
            <rFont val="Tahoma"/>
            <family val="2"/>
          </rPr>
          <t xml:space="preserve">
</t>
        </r>
      </text>
    </comment>
    <comment ref="C22" authorId="0" shapeId="0" xr:uid="{00000000-0006-0000-1700-00000E000000}">
      <text>
        <r>
          <rPr>
            <b/>
            <sz val="8"/>
            <color indexed="81"/>
            <rFont val="Tahoma"/>
            <family val="2"/>
          </rPr>
          <t>From ALISE:
Part I, Item 3, Fall</t>
        </r>
        <r>
          <rPr>
            <sz val="8"/>
            <color indexed="81"/>
            <rFont val="Tahoma"/>
            <family val="2"/>
          </rPr>
          <t xml:space="preserve">
</t>
        </r>
      </text>
    </comment>
    <comment ref="I22" authorId="0" shapeId="0" xr:uid="{00000000-0006-0000-17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7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7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7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7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7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17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700-000016000000}">
      <text>
        <r>
          <rPr>
            <b/>
            <sz val="8"/>
            <color indexed="81"/>
            <rFont val="Tahoma"/>
            <family val="2"/>
          </rPr>
          <t>From ALISE:
Part IV, Line 59</t>
        </r>
        <r>
          <rPr>
            <sz val="8"/>
            <color indexed="81"/>
            <rFont val="Tahoma"/>
            <family val="2"/>
          </rPr>
          <t xml:space="preserve">
</t>
        </r>
      </text>
    </comment>
    <comment ref="U22" authorId="0" shapeId="0" xr:uid="{00000000-0006-0000-1700-000017000000}">
      <text>
        <r>
          <rPr>
            <b/>
            <sz val="8"/>
            <color indexed="81"/>
            <rFont val="Tahoma"/>
            <family val="2"/>
          </rPr>
          <t>From ALISE:
Part IV, Line 60</t>
        </r>
        <r>
          <rPr>
            <sz val="8"/>
            <color indexed="81"/>
            <rFont val="Tahoma"/>
            <family val="2"/>
          </rPr>
          <t xml:space="preserve">
</t>
        </r>
      </text>
    </comment>
    <comment ref="V22" authorId="0" shapeId="0" xr:uid="{00000000-0006-0000-17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Will</author>
    <author>Karen O'Brien</author>
  </authors>
  <commentList>
    <comment ref="U5" authorId="0" shapeId="0" xr:uid="{529DA913-D15C-4950-A0ED-89ABE471FBBC}">
      <text>
        <r>
          <rPr>
            <b/>
            <sz val="9"/>
            <color indexed="81"/>
            <rFont val="Tahoma"/>
            <family val="2"/>
          </rPr>
          <t>Will:</t>
        </r>
        <r>
          <rPr>
            <sz val="9"/>
            <color indexed="81"/>
            <rFont val="Tahoma"/>
            <family val="2"/>
          </rPr>
          <t xml:space="preserve">
Income reporting beginning this year includes budget for an additional unit in the School (ICT). This is not an ALA program.
</t>
        </r>
      </text>
    </comment>
    <comment ref="B22" authorId="1" shapeId="0" xr:uid="{00000000-0006-0000-1800-000001000000}">
      <text>
        <r>
          <rPr>
            <b/>
            <sz val="8"/>
            <color indexed="81"/>
            <rFont val="Tahoma"/>
            <family val="2"/>
          </rPr>
          <t>From ALISE:
Part I, Item 2, Fall</t>
        </r>
        <r>
          <rPr>
            <sz val="8"/>
            <color indexed="81"/>
            <rFont val="Tahoma"/>
            <family val="2"/>
          </rPr>
          <t xml:space="preserve">
</t>
        </r>
      </text>
    </comment>
    <comment ref="C22" authorId="1" shapeId="0" xr:uid="{00000000-0006-0000-1800-000002000000}">
      <text>
        <r>
          <rPr>
            <b/>
            <sz val="8"/>
            <color indexed="81"/>
            <rFont val="Tahoma"/>
            <family val="2"/>
          </rPr>
          <t>From ALISE:
Part I, Item 3, Fall</t>
        </r>
        <r>
          <rPr>
            <sz val="8"/>
            <color indexed="81"/>
            <rFont val="Tahoma"/>
            <family val="2"/>
          </rPr>
          <t xml:space="preserve">
</t>
        </r>
      </text>
    </comment>
    <comment ref="I22" authorId="1" shapeId="0" xr:uid="{00000000-0006-0000-1800-000003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1800-000004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1800-000005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1800-000006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1800-000007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1800-000008000000}">
      <text>
        <r>
          <rPr>
            <b/>
            <sz val="8"/>
            <color indexed="81"/>
            <rFont val="Tahoma"/>
            <family val="2"/>
          </rPr>
          <t>From ALISE:
Part II, Table II-3, Total, ALA only</t>
        </r>
        <r>
          <rPr>
            <sz val="8"/>
            <color indexed="81"/>
            <rFont val="Tahoma"/>
            <family val="2"/>
          </rPr>
          <t xml:space="preserve">
</t>
        </r>
      </text>
    </comment>
    <comment ref="R22" authorId="1" shapeId="0" xr:uid="{00000000-0006-0000-1800-000009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1800-00000A000000}">
      <text>
        <r>
          <rPr>
            <b/>
            <sz val="8"/>
            <color indexed="81"/>
            <rFont val="Tahoma"/>
            <family val="2"/>
          </rPr>
          <t>From ALISE:
Part IV, Line 59</t>
        </r>
        <r>
          <rPr>
            <sz val="8"/>
            <color indexed="81"/>
            <rFont val="Tahoma"/>
            <family val="2"/>
          </rPr>
          <t xml:space="preserve">
</t>
        </r>
      </text>
    </comment>
    <comment ref="U22" authorId="1" shapeId="0" xr:uid="{00000000-0006-0000-1800-00000B000000}">
      <text>
        <r>
          <rPr>
            <b/>
            <sz val="8"/>
            <color indexed="81"/>
            <rFont val="Tahoma"/>
            <family val="2"/>
          </rPr>
          <t>From ALISE:
Part IV, Line 60</t>
        </r>
        <r>
          <rPr>
            <sz val="8"/>
            <color indexed="81"/>
            <rFont val="Tahoma"/>
            <family val="2"/>
          </rPr>
          <t xml:space="preserve">
</t>
        </r>
      </text>
    </comment>
    <comment ref="V22" authorId="1" shapeId="0" xr:uid="{00000000-0006-0000-18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Tiffany Williams-Hart</author>
    <author>Karen O'Brien</author>
  </authors>
  <commentList>
    <comment ref="R5" authorId="0" shapeId="0" xr:uid="{3AEEB6B1-70FD-4D5E-9731-8FEFC65F3B5B}">
      <text>
        <r>
          <rPr>
            <b/>
            <sz val="9"/>
            <color indexed="81"/>
            <rFont val="Tahoma"/>
            <family val="2"/>
          </rPr>
          <t>Tiffany Williams-Hart:</t>
        </r>
        <r>
          <rPr>
            <sz val="9"/>
            <color indexed="81"/>
            <rFont val="Tahoma"/>
            <family val="2"/>
          </rPr>
          <t xml:space="preserve">
The significant increase in other degrees awarded is due to restructuring when the Information Science department was dissolved, and the M.S.I.S. program was absorbed into the College of Emergency Preparedness, Homeland Security and Cybersecurity. The overall enrollment of CEHC is higher than that of the college where the M.S.I.S. had originated from.</t>
        </r>
      </text>
    </comment>
    <comment ref="B20" authorId="1" shapeId="0" xr:uid="{00000000-0006-0000-0200-000001000000}">
      <text>
        <r>
          <rPr>
            <b/>
            <sz val="8"/>
            <color indexed="81"/>
            <rFont val="Tahoma"/>
            <family val="2"/>
          </rPr>
          <t>From ALISE:
Part I, Item 2, Fall</t>
        </r>
        <r>
          <rPr>
            <sz val="8"/>
            <color indexed="81"/>
            <rFont val="Tahoma"/>
            <family val="2"/>
          </rPr>
          <t xml:space="preserve">
</t>
        </r>
      </text>
    </comment>
    <comment ref="C20" authorId="1" shapeId="0" xr:uid="{00000000-0006-0000-0200-000002000000}">
      <text>
        <r>
          <rPr>
            <b/>
            <sz val="8"/>
            <color indexed="81"/>
            <rFont val="Tahoma"/>
            <family val="2"/>
          </rPr>
          <t>From ALISE:
Part I, Item 3, Fall</t>
        </r>
        <r>
          <rPr>
            <sz val="8"/>
            <color indexed="81"/>
            <rFont val="Tahoma"/>
            <family val="2"/>
          </rPr>
          <t xml:space="preserve">
</t>
        </r>
      </text>
    </comment>
    <comment ref="I20" authorId="1" shapeId="0" xr:uid="{00000000-0006-0000-0200-000003000000}">
      <text>
        <r>
          <rPr>
            <b/>
            <sz val="8"/>
            <color indexed="81"/>
            <rFont val="Tahoma"/>
            <family val="2"/>
          </rPr>
          <t>From ALISE:
Part II, Table II-1,
Total  Full-time,
ALA only</t>
        </r>
        <r>
          <rPr>
            <sz val="8"/>
            <color indexed="81"/>
            <rFont val="Tahoma"/>
            <family val="2"/>
          </rPr>
          <t xml:space="preserve">
</t>
        </r>
      </text>
    </comment>
    <comment ref="J20" authorId="1" shapeId="0" xr:uid="{00000000-0006-0000-0200-000004000000}">
      <text>
        <r>
          <rPr>
            <b/>
            <sz val="8"/>
            <color indexed="81"/>
            <rFont val="Tahoma"/>
            <family val="2"/>
          </rPr>
          <t>From ALISE:
Part II, Table II-1,
Total No. Part-time,
ALA only</t>
        </r>
        <r>
          <rPr>
            <sz val="8"/>
            <color indexed="81"/>
            <rFont val="Tahoma"/>
            <family val="2"/>
          </rPr>
          <t xml:space="preserve">
</t>
        </r>
      </text>
    </comment>
    <comment ref="L20" authorId="1" shapeId="0" xr:uid="{00000000-0006-0000-02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1" shapeId="0" xr:uid="{00000000-0006-0000-02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1" shapeId="0" xr:uid="{00000000-0006-0000-0200-000007000000}">
      <text>
        <r>
          <rPr>
            <b/>
            <sz val="8"/>
            <color indexed="81"/>
            <rFont val="Tahoma"/>
            <family val="2"/>
          </rPr>
          <t>From ALISE:
Part II, Table II-1, Total FTE, all programs</t>
        </r>
        <r>
          <rPr>
            <sz val="8"/>
            <color indexed="81"/>
            <rFont val="Tahoma"/>
            <family val="2"/>
          </rPr>
          <t xml:space="preserve">
</t>
        </r>
      </text>
    </comment>
    <comment ref="Q20" authorId="1" shapeId="0" xr:uid="{00000000-0006-0000-0200-000008000000}">
      <text>
        <r>
          <rPr>
            <b/>
            <sz val="8"/>
            <color indexed="81"/>
            <rFont val="Tahoma"/>
            <family val="2"/>
          </rPr>
          <t>From ALISE:
Part II, Table II-3, Total, ALA only</t>
        </r>
        <r>
          <rPr>
            <sz val="8"/>
            <color indexed="81"/>
            <rFont val="Tahoma"/>
            <family val="2"/>
          </rPr>
          <t xml:space="preserve">
</t>
        </r>
      </text>
    </comment>
    <comment ref="R20" authorId="1" shapeId="0" xr:uid="{00000000-0006-0000-0200-000009000000}">
      <text>
        <r>
          <rPr>
            <b/>
            <sz val="8"/>
            <color indexed="81"/>
            <rFont val="Tahoma"/>
            <family val="2"/>
          </rPr>
          <t>From ALISE:
Part II, Table II-3, Total all other programs</t>
        </r>
        <r>
          <rPr>
            <sz val="8"/>
            <color indexed="81"/>
            <rFont val="Tahoma"/>
            <family val="2"/>
          </rPr>
          <t xml:space="preserve">
</t>
        </r>
      </text>
    </comment>
    <comment ref="S20" authorId="1" shapeId="0" xr:uid="{00000000-0006-0000-0200-00000A000000}">
      <text>
        <r>
          <rPr>
            <b/>
            <sz val="8"/>
            <color indexed="81"/>
            <rFont val="Tahoma"/>
            <family val="2"/>
          </rPr>
          <t>From ALISE:
Part IV, Line 59</t>
        </r>
        <r>
          <rPr>
            <sz val="8"/>
            <color indexed="81"/>
            <rFont val="Tahoma"/>
            <family val="2"/>
          </rPr>
          <t xml:space="preserve">
</t>
        </r>
      </text>
    </comment>
    <comment ref="U20" authorId="1" shapeId="0" xr:uid="{00000000-0006-0000-0200-00000B000000}">
      <text>
        <r>
          <rPr>
            <b/>
            <sz val="8"/>
            <color indexed="81"/>
            <rFont val="Tahoma"/>
            <family val="2"/>
          </rPr>
          <t>From ALISE:
Part IV, Line 60</t>
        </r>
        <r>
          <rPr>
            <sz val="8"/>
            <color indexed="81"/>
            <rFont val="Tahoma"/>
            <family val="2"/>
          </rPr>
          <t xml:space="preserve">
</t>
        </r>
      </text>
    </comment>
    <comment ref="V20" authorId="1" shapeId="0" xr:uid="{00000000-0006-0000-0200-00000C000000}">
      <text>
        <r>
          <rPr>
            <b/>
            <sz val="8"/>
            <color indexed="81"/>
            <rFont val="Tahoma"/>
            <family val="2"/>
          </rPr>
          <t>From ALISE:
Part IV, Total lines 61, 62, 63, 64, and 68</t>
        </r>
        <r>
          <rPr>
            <sz val="8"/>
            <color indexed="81"/>
            <rFont val="Tahoma"/>
            <family val="2"/>
          </rPr>
          <t xml:space="preserve">
</t>
        </r>
      </text>
    </comment>
    <comment ref="B22" authorId="1" shapeId="0" xr:uid="{00000000-0006-0000-0200-00000D000000}">
      <text>
        <r>
          <rPr>
            <b/>
            <sz val="8"/>
            <color indexed="81"/>
            <rFont val="Tahoma"/>
            <family val="2"/>
          </rPr>
          <t>From ALISE:
Part I, Item 2, Fall</t>
        </r>
        <r>
          <rPr>
            <sz val="8"/>
            <color indexed="81"/>
            <rFont val="Tahoma"/>
            <family val="2"/>
          </rPr>
          <t xml:space="preserve">
</t>
        </r>
      </text>
    </comment>
    <comment ref="C22" authorId="1" shapeId="0" xr:uid="{00000000-0006-0000-0200-00000E000000}">
      <text>
        <r>
          <rPr>
            <b/>
            <sz val="8"/>
            <color indexed="81"/>
            <rFont val="Tahoma"/>
            <family val="2"/>
          </rPr>
          <t>From ALISE:
Part I, Item 3, Fall</t>
        </r>
        <r>
          <rPr>
            <sz val="8"/>
            <color indexed="81"/>
            <rFont val="Tahoma"/>
            <family val="2"/>
          </rPr>
          <t xml:space="preserve">
</t>
        </r>
      </text>
    </comment>
    <comment ref="I22" authorId="1" shapeId="0" xr:uid="{00000000-0006-0000-0200-00000F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0200-000010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02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02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0200-000013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0200-000014000000}">
      <text>
        <r>
          <rPr>
            <b/>
            <sz val="8"/>
            <color indexed="81"/>
            <rFont val="Tahoma"/>
            <family val="2"/>
          </rPr>
          <t>From ALISE:
Part II, Table II-3, Total, ALA only</t>
        </r>
        <r>
          <rPr>
            <sz val="8"/>
            <color indexed="81"/>
            <rFont val="Tahoma"/>
            <family val="2"/>
          </rPr>
          <t xml:space="preserve">
</t>
        </r>
      </text>
    </comment>
    <comment ref="R22" authorId="1" shapeId="0" xr:uid="{00000000-0006-0000-0200-000015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0200-000016000000}">
      <text>
        <r>
          <rPr>
            <b/>
            <sz val="8"/>
            <color indexed="81"/>
            <rFont val="Tahoma"/>
            <family val="2"/>
          </rPr>
          <t>From ALISE:
Part IV, Line 59</t>
        </r>
        <r>
          <rPr>
            <sz val="8"/>
            <color indexed="81"/>
            <rFont val="Tahoma"/>
            <family val="2"/>
          </rPr>
          <t xml:space="preserve">
</t>
        </r>
      </text>
    </comment>
    <comment ref="U22" authorId="1" shapeId="0" xr:uid="{00000000-0006-0000-0200-000017000000}">
      <text>
        <r>
          <rPr>
            <b/>
            <sz val="8"/>
            <color indexed="81"/>
            <rFont val="Tahoma"/>
            <family val="2"/>
          </rPr>
          <t>From ALISE:
Part IV, Line 60</t>
        </r>
        <r>
          <rPr>
            <sz val="8"/>
            <color indexed="81"/>
            <rFont val="Tahoma"/>
            <family val="2"/>
          </rPr>
          <t xml:space="preserve">
</t>
        </r>
      </text>
    </comment>
    <comment ref="V22" authorId="1" shapeId="0" xr:uid="{00000000-0006-0000-02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1900-000001000000}">
      <text>
        <r>
          <rPr>
            <b/>
            <sz val="8"/>
            <color indexed="81"/>
            <rFont val="Tahoma"/>
            <family val="2"/>
          </rPr>
          <t>From ALISE:
Part I, Item 2, Fall</t>
        </r>
        <r>
          <rPr>
            <sz val="8"/>
            <color indexed="81"/>
            <rFont val="Tahoma"/>
            <family val="2"/>
          </rPr>
          <t xml:space="preserve">
</t>
        </r>
      </text>
    </comment>
    <comment ref="C20" authorId="0" shapeId="0" xr:uid="{00000000-0006-0000-1900-000002000000}">
      <text>
        <r>
          <rPr>
            <b/>
            <sz val="8"/>
            <color indexed="81"/>
            <rFont val="Tahoma"/>
            <family val="2"/>
          </rPr>
          <t>From ALISE:
Part I, Item 3, Fall</t>
        </r>
        <r>
          <rPr>
            <sz val="8"/>
            <color indexed="81"/>
            <rFont val="Tahoma"/>
            <family val="2"/>
          </rPr>
          <t xml:space="preserve">
</t>
        </r>
      </text>
    </comment>
    <comment ref="I20" authorId="0" shapeId="0" xr:uid="{00000000-0006-0000-19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9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19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19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19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9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9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1900-00000A000000}">
      <text>
        <r>
          <rPr>
            <b/>
            <sz val="8"/>
            <color indexed="81"/>
            <rFont val="Tahoma"/>
            <family val="2"/>
          </rPr>
          <t>From ALISE:
Part IV, Line 59</t>
        </r>
        <r>
          <rPr>
            <sz val="8"/>
            <color indexed="81"/>
            <rFont val="Tahoma"/>
            <family val="2"/>
          </rPr>
          <t xml:space="preserve">
</t>
        </r>
      </text>
    </comment>
    <comment ref="U20" authorId="0" shapeId="0" xr:uid="{00000000-0006-0000-1900-00000B000000}">
      <text>
        <r>
          <rPr>
            <b/>
            <sz val="8"/>
            <color indexed="81"/>
            <rFont val="Tahoma"/>
            <family val="2"/>
          </rPr>
          <t>From ALISE:
Part IV, Line 60</t>
        </r>
        <r>
          <rPr>
            <sz val="8"/>
            <color indexed="81"/>
            <rFont val="Tahoma"/>
            <family val="2"/>
          </rPr>
          <t xml:space="preserve">
</t>
        </r>
      </text>
    </comment>
    <comment ref="V20" authorId="0" shapeId="0" xr:uid="{00000000-0006-0000-19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900-00000D000000}">
      <text>
        <r>
          <rPr>
            <b/>
            <sz val="8"/>
            <color indexed="81"/>
            <rFont val="Tahoma"/>
            <family val="2"/>
          </rPr>
          <t>From ALISE:
Part I, Item 2, Fall</t>
        </r>
        <r>
          <rPr>
            <sz val="8"/>
            <color indexed="81"/>
            <rFont val="Tahoma"/>
            <family val="2"/>
          </rPr>
          <t xml:space="preserve">
</t>
        </r>
      </text>
    </comment>
    <comment ref="C22" authorId="0" shapeId="0" xr:uid="{00000000-0006-0000-1900-00000E000000}">
      <text>
        <r>
          <rPr>
            <b/>
            <sz val="8"/>
            <color indexed="81"/>
            <rFont val="Tahoma"/>
            <family val="2"/>
          </rPr>
          <t>From ALISE:
Part I, Item 3, Fall</t>
        </r>
        <r>
          <rPr>
            <sz val="8"/>
            <color indexed="81"/>
            <rFont val="Tahoma"/>
            <family val="2"/>
          </rPr>
          <t xml:space="preserve">
</t>
        </r>
      </text>
    </comment>
    <comment ref="I22" authorId="0" shapeId="0" xr:uid="{00000000-0006-0000-19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9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900-000011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Part-Time FTE, ALA only
</t>
        </r>
        <r>
          <rPr>
            <sz val="8"/>
            <color rgb="FF000000"/>
            <rFont val="Tahoma"/>
            <family val="2"/>
          </rPr>
          <t xml:space="preserve">
</t>
        </r>
      </text>
    </comment>
    <comment ref="N22" authorId="0" shapeId="0" xr:uid="{00000000-0006-0000-19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9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900-000014000000}">
      <text>
        <r>
          <rPr>
            <b/>
            <sz val="8"/>
            <color rgb="FF000000"/>
            <rFont val="Tahoma"/>
            <family val="2"/>
          </rPr>
          <t xml:space="preserve">From ALISE:
</t>
        </r>
        <r>
          <rPr>
            <b/>
            <sz val="8"/>
            <color rgb="FF000000"/>
            <rFont val="Tahoma"/>
            <family val="2"/>
          </rPr>
          <t>Part II, Table II-3, Total, ALA only</t>
        </r>
        <r>
          <rPr>
            <sz val="8"/>
            <color rgb="FF000000"/>
            <rFont val="Tahoma"/>
            <family val="2"/>
          </rPr>
          <t xml:space="preserve">
</t>
        </r>
      </text>
    </comment>
    <comment ref="R22" authorId="0" shapeId="0" xr:uid="{00000000-0006-0000-19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900-000016000000}">
      <text>
        <r>
          <rPr>
            <b/>
            <sz val="8"/>
            <color indexed="81"/>
            <rFont val="Tahoma"/>
            <family val="2"/>
          </rPr>
          <t>From ALISE:
Part IV, Line 59</t>
        </r>
        <r>
          <rPr>
            <sz val="8"/>
            <color indexed="81"/>
            <rFont val="Tahoma"/>
            <family val="2"/>
          </rPr>
          <t xml:space="preserve">
</t>
        </r>
      </text>
    </comment>
    <comment ref="U22" authorId="0" shapeId="0" xr:uid="{00000000-0006-0000-1900-000017000000}">
      <text>
        <r>
          <rPr>
            <b/>
            <sz val="8"/>
            <color indexed="81"/>
            <rFont val="Tahoma"/>
            <family val="2"/>
          </rPr>
          <t>From ALISE:
Part IV, Line 60</t>
        </r>
        <r>
          <rPr>
            <sz val="8"/>
            <color indexed="81"/>
            <rFont val="Tahoma"/>
            <family val="2"/>
          </rPr>
          <t xml:space="preserve">
</t>
        </r>
      </text>
    </comment>
    <comment ref="V22" authorId="0" shapeId="0" xr:uid="{00000000-0006-0000-19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1A00-000001000000}">
      <text>
        <r>
          <rPr>
            <b/>
            <sz val="8"/>
            <color indexed="81"/>
            <rFont val="Tahoma"/>
            <family val="2"/>
          </rPr>
          <t>From ALISE:
Part I, Item 2, Fall</t>
        </r>
        <r>
          <rPr>
            <sz val="8"/>
            <color indexed="81"/>
            <rFont val="Tahoma"/>
            <family val="2"/>
          </rPr>
          <t xml:space="preserve">
</t>
        </r>
      </text>
    </comment>
    <comment ref="C20" authorId="0" shapeId="0" xr:uid="{00000000-0006-0000-1A00-000002000000}">
      <text>
        <r>
          <rPr>
            <b/>
            <sz val="8"/>
            <color indexed="81"/>
            <rFont val="Tahoma"/>
            <family val="2"/>
          </rPr>
          <t>From ALISE:
Part I, Item 3, Fall</t>
        </r>
        <r>
          <rPr>
            <sz val="8"/>
            <color indexed="81"/>
            <rFont val="Tahoma"/>
            <family val="2"/>
          </rPr>
          <t xml:space="preserve">
</t>
        </r>
      </text>
    </comment>
    <comment ref="I20" authorId="0" shapeId="0" xr:uid="{00000000-0006-0000-1A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A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1A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1A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1A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A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A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1A00-00000A000000}">
      <text>
        <r>
          <rPr>
            <b/>
            <sz val="8"/>
            <color indexed="81"/>
            <rFont val="Tahoma"/>
            <family val="2"/>
          </rPr>
          <t>From ALISE:
Part IV, Line 59</t>
        </r>
        <r>
          <rPr>
            <sz val="8"/>
            <color indexed="81"/>
            <rFont val="Tahoma"/>
            <family val="2"/>
          </rPr>
          <t xml:space="preserve">
</t>
        </r>
      </text>
    </comment>
    <comment ref="U20" authorId="0" shapeId="0" xr:uid="{00000000-0006-0000-1A00-00000B000000}">
      <text>
        <r>
          <rPr>
            <b/>
            <sz val="8"/>
            <color indexed="81"/>
            <rFont val="Tahoma"/>
            <family val="2"/>
          </rPr>
          <t>From ALISE:
Part IV, Line 60</t>
        </r>
        <r>
          <rPr>
            <sz val="8"/>
            <color indexed="81"/>
            <rFont val="Tahoma"/>
            <family val="2"/>
          </rPr>
          <t xml:space="preserve">
</t>
        </r>
      </text>
    </comment>
    <comment ref="V20" authorId="0" shapeId="0" xr:uid="{00000000-0006-0000-1A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A00-00000D000000}">
      <text>
        <r>
          <rPr>
            <b/>
            <sz val="8"/>
            <color indexed="81"/>
            <rFont val="Tahoma"/>
            <family val="2"/>
          </rPr>
          <t>From ALISE:
Part I, Item 2, Fall</t>
        </r>
        <r>
          <rPr>
            <sz val="8"/>
            <color indexed="81"/>
            <rFont val="Tahoma"/>
            <family val="2"/>
          </rPr>
          <t xml:space="preserve">
</t>
        </r>
      </text>
    </comment>
    <comment ref="C22" authorId="0" shapeId="0" xr:uid="{00000000-0006-0000-1A00-00000E000000}">
      <text>
        <r>
          <rPr>
            <b/>
            <sz val="8"/>
            <color indexed="81"/>
            <rFont val="Tahoma"/>
            <family val="2"/>
          </rPr>
          <t>From ALISE:
Part I, Item 3, Fall</t>
        </r>
        <r>
          <rPr>
            <sz val="8"/>
            <color indexed="81"/>
            <rFont val="Tahoma"/>
            <family val="2"/>
          </rPr>
          <t xml:space="preserve">
</t>
        </r>
      </text>
    </comment>
    <comment ref="I22" authorId="0" shapeId="0" xr:uid="{00000000-0006-0000-1A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A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A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A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A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A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1A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A00-000016000000}">
      <text>
        <r>
          <rPr>
            <b/>
            <sz val="8"/>
            <color indexed="81"/>
            <rFont val="Tahoma"/>
            <family val="2"/>
          </rPr>
          <t>From ALISE:
Part IV, Line 59</t>
        </r>
        <r>
          <rPr>
            <sz val="8"/>
            <color indexed="81"/>
            <rFont val="Tahoma"/>
            <family val="2"/>
          </rPr>
          <t xml:space="preserve">
</t>
        </r>
      </text>
    </comment>
    <comment ref="U22" authorId="0" shapeId="0" xr:uid="{00000000-0006-0000-1A00-000017000000}">
      <text>
        <r>
          <rPr>
            <b/>
            <sz val="8"/>
            <color indexed="81"/>
            <rFont val="Tahoma"/>
            <family val="2"/>
          </rPr>
          <t>From ALISE:
Part IV, Line 60</t>
        </r>
        <r>
          <rPr>
            <sz val="8"/>
            <color indexed="81"/>
            <rFont val="Tahoma"/>
            <family val="2"/>
          </rPr>
          <t xml:space="preserve">
</t>
        </r>
      </text>
    </comment>
    <comment ref="V22" authorId="0" shapeId="0" xr:uid="{00000000-0006-0000-1A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
    <author>Karen O'Brien</author>
  </authors>
  <commentList>
    <comment ref="Q3" authorId="0" shapeId="0" xr:uid="{06142793-1B14-4015-B31A-53B013682BFD}">
      <text>
        <r>
          <rPr>
            <sz val="10"/>
            <color rgb="FF000000"/>
            <rFont val="Arial"/>
          </rPr>
          <t xml:space="preserve">Fall 2020 - 
Spring 2021 - 66 
Summer 2021 - 8
 </t>
        </r>
      </text>
    </comment>
    <comment ref="R3" authorId="0" shapeId="0" xr:uid="{2169A98C-FD73-4B44-962E-AAD4638FA80E}">
      <text>
        <r>
          <rPr>
            <sz val="10"/>
            <color rgb="FF000000"/>
            <rFont val="Arial"/>
          </rPr>
          <t>Ask Jeff in January after graduation clearances for Fall 2021 have gone through.
----
@madle@umd.edu i assume that these are all the other grad degrees from the ischool?
_Assigned to Morgan Marie Adle_
	-Jeff Waters
@jwaters4@umd.edu It also includes undergrad degrees awarded. Just all non- MLIS degrees. I fixed the "ALA Masters Degrees Awarded," it should be for the 2020-2021 academic year, so I included Fall 2020, Spring 2021, and Summer 2021.
	-Morgan Marie Adle
added! i excluded 2 certificate students who finished - we don't consider that a "degree" but perhaps ALA does. if that would count, the number would be 496. Thanks!
	-Jeff Waters</t>
        </r>
      </text>
    </comment>
    <comment ref="B20" authorId="1" shapeId="0" xr:uid="{00000000-0006-0000-1B00-000001000000}">
      <text>
        <r>
          <rPr>
            <b/>
            <sz val="8"/>
            <color indexed="81"/>
            <rFont val="Tahoma"/>
            <family val="2"/>
          </rPr>
          <t>From ALISE:
Part I, Item 2, Fall</t>
        </r>
        <r>
          <rPr>
            <sz val="8"/>
            <color indexed="81"/>
            <rFont val="Tahoma"/>
            <family val="2"/>
          </rPr>
          <t xml:space="preserve">
</t>
        </r>
      </text>
    </comment>
    <comment ref="C20" authorId="1" shapeId="0" xr:uid="{00000000-0006-0000-1B00-000002000000}">
      <text>
        <r>
          <rPr>
            <b/>
            <sz val="8"/>
            <color indexed="81"/>
            <rFont val="Tahoma"/>
            <family val="2"/>
          </rPr>
          <t>From ALISE:
Part I, Item 3, Fall</t>
        </r>
        <r>
          <rPr>
            <sz val="8"/>
            <color indexed="81"/>
            <rFont val="Tahoma"/>
            <family val="2"/>
          </rPr>
          <t xml:space="preserve">
</t>
        </r>
      </text>
    </comment>
    <comment ref="I20" authorId="1" shapeId="0" xr:uid="{00000000-0006-0000-1B00-000003000000}">
      <text>
        <r>
          <rPr>
            <b/>
            <sz val="8"/>
            <color indexed="81"/>
            <rFont val="Tahoma"/>
            <family val="2"/>
          </rPr>
          <t>From ALISE:
Part II, Table II-1,
Total  Full-time,
ALA only</t>
        </r>
        <r>
          <rPr>
            <sz val="8"/>
            <color indexed="81"/>
            <rFont val="Tahoma"/>
            <family val="2"/>
          </rPr>
          <t xml:space="preserve">
</t>
        </r>
      </text>
    </comment>
    <comment ref="J20" authorId="1" shapeId="0" xr:uid="{00000000-0006-0000-1B00-000004000000}">
      <text>
        <r>
          <rPr>
            <b/>
            <sz val="8"/>
            <color indexed="81"/>
            <rFont val="Tahoma"/>
            <family val="2"/>
          </rPr>
          <t>From ALISE:
Part II, Table II-1,
Total No. Part-time,
ALA only</t>
        </r>
        <r>
          <rPr>
            <sz val="8"/>
            <color indexed="81"/>
            <rFont val="Tahoma"/>
            <family val="2"/>
          </rPr>
          <t xml:space="preserve">
</t>
        </r>
      </text>
    </comment>
    <comment ref="L20" authorId="1" shapeId="0" xr:uid="{00000000-0006-0000-1B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1" shapeId="0" xr:uid="{00000000-0006-0000-1B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1" shapeId="0" xr:uid="{00000000-0006-0000-1B00-000007000000}">
      <text>
        <r>
          <rPr>
            <b/>
            <sz val="8"/>
            <color indexed="81"/>
            <rFont val="Tahoma"/>
            <family val="2"/>
          </rPr>
          <t>From ALISE:
Part II, Table II-1, Total FTE, all programs</t>
        </r>
        <r>
          <rPr>
            <sz val="8"/>
            <color indexed="81"/>
            <rFont val="Tahoma"/>
            <family val="2"/>
          </rPr>
          <t xml:space="preserve">
</t>
        </r>
      </text>
    </comment>
    <comment ref="Q20" authorId="1" shapeId="0" xr:uid="{00000000-0006-0000-1B00-000008000000}">
      <text>
        <r>
          <rPr>
            <b/>
            <sz val="8"/>
            <color indexed="81"/>
            <rFont val="Tahoma"/>
            <family val="2"/>
          </rPr>
          <t>From ALISE:
Part II, Table II-3, Total, ALA only</t>
        </r>
        <r>
          <rPr>
            <sz val="8"/>
            <color indexed="81"/>
            <rFont val="Tahoma"/>
            <family val="2"/>
          </rPr>
          <t xml:space="preserve">
</t>
        </r>
      </text>
    </comment>
    <comment ref="R20" authorId="1" shapeId="0" xr:uid="{00000000-0006-0000-1B00-000009000000}">
      <text>
        <r>
          <rPr>
            <b/>
            <sz val="8"/>
            <color indexed="81"/>
            <rFont val="Tahoma"/>
            <family val="2"/>
          </rPr>
          <t>From ALISE:
Part II, Table II-3, Total all other programs</t>
        </r>
        <r>
          <rPr>
            <sz val="8"/>
            <color indexed="81"/>
            <rFont val="Tahoma"/>
            <family val="2"/>
          </rPr>
          <t xml:space="preserve">
</t>
        </r>
      </text>
    </comment>
    <comment ref="S20" authorId="1" shapeId="0" xr:uid="{00000000-0006-0000-1B00-00000A000000}">
      <text>
        <r>
          <rPr>
            <b/>
            <sz val="8"/>
            <color indexed="81"/>
            <rFont val="Tahoma"/>
            <family val="2"/>
          </rPr>
          <t>From ALISE:
Part IV, Line 59</t>
        </r>
        <r>
          <rPr>
            <sz val="8"/>
            <color indexed="81"/>
            <rFont val="Tahoma"/>
            <family val="2"/>
          </rPr>
          <t xml:space="preserve">
</t>
        </r>
      </text>
    </comment>
    <comment ref="U20" authorId="1" shapeId="0" xr:uid="{00000000-0006-0000-1B00-00000B000000}">
      <text>
        <r>
          <rPr>
            <b/>
            <sz val="8"/>
            <color indexed="81"/>
            <rFont val="Tahoma"/>
            <family val="2"/>
          </rPr>
          <t>From ALISE:
Part IV, Line 60</t>
        </r>
        <r>
          <rPr>
            <sz val="8"/>
            <color indexed="81"/>
            <rFont val="Tahoma"/>
            <family val="2"/>
          </rPr>
          <t xml:space="preserve">
</t>
        </r>
      </text>
    </comment>
    <comment ref="V20" authorId="1" shapeId="0" xr:uid="{00000000-0006-0000-1B00-00000C000000}">
      <text>
        <r>
          <rPr>
            <b/>
            <sz val="8"/>
            <color indexed="81"/>
            <rFont val="Tahoma"/>
            <family val="2"/>
          </rPr>
          <t>From ALISE:
Part IV, Total lines 61, 62, 63, 64, and 68</t>
        </r>
        <r>
          <rPr>
            <sz val="8"/>
            <color indexed="81"/>
            <rFont val="Tahoma"/>
            <family val="2"/>
          </rPr>
          <t xml:space="preserve">
</t>
        </r>
      </text>
    </comment>
    <comment ref="B22" authorId="1" shapeId="0" xr:uid="{00000000-0006-0000-1B00-00000D000000}">
      <text>
        <r>
          <rPr>
            <b/>
            <sz val="8"/>
            <color indexed="81"/>
            <rFont val="Tahoma"/>
            <family val="2"/>
          </rPr>
          <t>From ALISE:
Part I, Item 2, Fall</t>
        </r>
        <r>
          <rPr>
            <sz val="8"/>
            <color indexed="81"/>
            <rFont val="Tahoma"/>
            <family val="2"/>
          </rPr>
          <t xml:space="preserve">
</t>
        </r>
      </text>
    </comment>
    <comment ref="C22" authorId="1" shapeId="0" xr:uid="{00000000-0006-0000-1B00-00000E000000}">
      <text>
        <r>
          <rPr>
            <b/>
            <sz val="8"/>
            <color indexed="81"/>
            <rFont val="Tahoma"/>
            <family val="2"/>
          </rPr>
          <t>From ALISE:
Part I, Item 3, Fall</t>
        </r>
        <r>
          <rPr>
            <sz val="8"/>
            <color indexed="81"/>
            <rFont val="Tahoma"/>
            <family val="2"/>
          </rPr>
          <t xml:space="preserve">
</t>
        </r>
      </text>
    </comment>
    <comment ref="I22" authorId="1" shapeId="0" xr:uid="{00000000-0006-0000-1B00-00000F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1B00-000010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1B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1B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1B00-000013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1B00-000014000000}">
      <text>
        <r>
          <rPr>
            <b/>
            <sz val="8"/>
            <color indexed="81"/>
            <rFont val="Tahoma"/>
            <family val="2"/>
          </rPr>
          <t>From ALISE:
Part II, Table II-3, Total, ALA only</t>
        </r>
        <r>
          <rPr>
            <sz val="8"/>
            <color indexed="81"/>
            <rFont val="Tahoma"/>
            <family val="2"/>
          </rPr>
          <t xml:space="preserve">
</t>
        </r>
      </text>
    </comment>
    <comment ref="R22" authorId="1" shapeId="0" xr:uid="{00000000-0006-0000-1B00-000015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1B00-000016000000}">
      <text>
        <r>
          <rPr>
            <b/>
            <sz val="8"/>
            <color indexed="81"/>
            <rFont val="Tahoma"/>
            <family val="2"/>
          </rPr>
          <t>From ALISE:
Part IV, Line 59</t>
        </r>
        <r>
          <rPr>
            <sz val="8"/>
            <color indexed="81"/>
            <rFont val="Tahoma"/>
            <family val="2"/>
          </rPr>
          <t xml:space="preserve">
</t>
        </r>
      </text>
    </comment>
    <comment ref="U22" authorId="1" shapeId="0" xr:uid="{00000000-0006-0000-1B00-000017000000}">
      <text>
        <r>
          <rPr>
            <b/>
            <sz val="8"/>
            <color indexed="81"/>
            <rFont val="Tahoma"/>
            <family val="2"/>
          </rPr>
          <t>From ALISE:
Part IV, Line 60</t>
        </r>
        <r>
          <rPr>
            <sz val="8"/>
            <color indexed="81"/>
            <rFont val="Tahoma"/>
            <family val="2"/>
          </rPr>
          <t xml:space="preserve">
</t>
        </r>
      </text>
    </comment>
    <comment ref="V22" authorId="1" shapeId="0" xr:uid="{00000000-0006-0000-1B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1D00-000001000000}">
      <text>
        <r>
          <rPr>
            <b/>
            <sz val="8"/>
            <color indexed="81"/>
            <rFont val="Tahoma"/>
            <family val="2"/>
          </rPr>
          <t>From ALISE:
Part I, Item 2, Fall</t>
        </r>
        <r>
          <rPr>
            <sz val="8"/>
            <color indexed="81"/>
            <rFont val="Tahoma"/>
            <family val="2"/>
          </rPr>
          <t xml:space="preserve">
</t>
        </r>
      </text>
    </comment>
    <comment ref="C20" authorId="0" shapeId="0" xr:uid="{00000000-0006-0000-1D00-000002000000}">
      <text>
        <r>
          <rPr>
            <b/>
            <sz val="8"/>
            <color indexed="81"/>
            <rFont val="Tahoma"/>
            <family val="2"/>
          </rPr>
          <t>From ALISE:
Part I, Item 3, Fall</t>
        </r>
        <r>
          <rPr>
            <sz val="8"/>
            <color indexed="81"/>
            <rFont val="Tahoma"/>
            <family val="2"/>
          </rPr>
          <t xml:space="preserve">
</t>
        </r>
      </text>
    </comment>
    <comment ref="I20" authorId="0" shapeId="0" xr:uid="{00000000-0006-0000-1D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D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1D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1D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1D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D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D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1D00-00000A000000}">
      <text>
        <r>
          <rPr>
            <b/>
            <sz val="8"/>
            <color indexed="81"/>
            <rFont val="Tahoma"/>
            <family val="2"/>
          </rPr>
          <t>From ALISE:
Part IV, Line 59</t>
        </r>
        <r>
          <rPr>
            <sz val="8"/>
            <color indexed="81"/>
            <rFont val="Tahoma"/>
            <family val="2"/>
          </rPr>
          <t xml:space="preserve">
</t>
        </r>
      </text>
    </comment>
    <comment ref="U20" authorId="0" shapeId="0" xr:uid="{00000000-0006-0000-1D00-00000B000000}">
      <text>
        <r>
          <rPr>
            <b/>
            <sz val="8"/>
            <color indexed="81"/>
            <rFont val="Tahoma"/>
            <family val="2"/>
          </rPr>
          <t>From ALISE:
Part IV, Line 60</t>
        </r>
        <r>
          <rPr>
            <sz val="8"/>
            <color indexed="81"/>
            <rFont val="Tahoma"/>
            <family val="2"/>
          </rPr>
          <t xml:space="preserve">
</t>
        </r>
      </text>
    </comment>
    <comment ref="V20" authorId="0" shapeId="0" xr:uid="{00000000-0006-0000-1D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D00-00000D000000}">
      <text>
        <r>
          <rPr>
            <b/>
            <sz val="8"/>
            <color indexed="81"/>
            <rFont val="Tahoma"/>
            <family val="2"/>
          </rPr>
          <t>From ALISE:
Part I, Item 2, Fall</t>
        </r>
        <r>
          <rPr>
            <sz val="8"/>
            <color indexed="81"/>
            <rFont val="Tahoma"/>
            <family val="2"/>
          </rPr>
          <t xml:space="preserve">
</t>
        </r>
      </text>
    </comment>
    <comment ref="C22" authorId="0" shapeId="0" xr:uid="{00000000-0006-0000-1D00-00000E000000}">
      <text>
        <r>
          <rPr>
            <b/>
            <sz val="8"/>
            <color indexed="81"/>
            <rFont val="Tahoma"/>
            <family val="2"/>
          </rPr>
          <t>From ALISE:
Part I, Item 3, Fall</t>
        </r>
        <r>
          <rPr>
            <sz val="8"/>
            <color indexed="81"/>
            <rFont val="Tahoma"/>
            <family val="2"/>
          </rPr>
          <t xml:space="preserve">
</t>
        </r>
      </text>
    </comment>
    <comment ref="I22" authorId="0" shapeId="0" xr:uid="{00000000-0006-0000-1D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D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D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1D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1D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D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1D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D00-000016000000}">
      <text>
        <r>
          <rPr>
            <b/>
            <sz val="8"/>
            <color indexed="81"/>
            <rFont val="Tahoma"/>
            <family val="2"/>
          </rPr>
          <t>From ALISE:
Part IV, Line 59</t>
        </r>
        <r>
          <rPr>
            <sz val="8"/>
            <color indexed="81"/>
            <rFont val="Tahoma"/>
            <family val="2"/>
          </rPr>
          <t xml:space="preserve">
</t>
        </r>
      </text>
    </comment>
    <comment ref="U22" authorId="0" shapeId="0" xr:uid="{00000000-0006-0000-1D00-000017000000}">
      <text>
        <r>
          <rPr>
            <b/>
            <sz val="8"/>
            <color indexed="81"/>
            <rFont val="Tahoma"/>
            <family val="2"/>
          </rPr>
          <t>From ALISE:
Part IV, Line 60</t>
        </r>
        <r>
          <rPr>
            <sz val="8"/>
            <color indexed="81"/>
            <rFont val="Tahoma"/>
            <family val="2"/>
          </rPr>
          <t xml:space="preserve">
</t>
        </r>
      </text>
    </comment>
    <comment ref="V22" authorId="0" shapeId="0" xr:uid="{00000000-0006-0000-1D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1" authorId="0" shapeId="0" xr:uid="{00000000-0006-0000-1E00-000001000000}">
      <text>
        <r>
          <rPr>
            <b/>
            <sz val="8"/>
            <color indexed="81"/>
            <rFont val="Tahoma"/>
            <family val="2"/>
          </rPr>
          <t>From ALISE:
Part I, Item 2, Fall</t>
        </r>
        <r>
          <rPr>
            <sz val="8"/>
            <color indexed="81"/>
            <rFont val="Tahoma"/>
            <family val="2"/>
          </rPr>
          <t xml:space="preserve">
</t>
        </r>
      </text>
    </comment>
    <comment ref="C21" authorId="0" shapeId="0" xr:uid="{00000000-0006-0000-1E00-000002000000}">
      <text>
        <r>
          <rPr>
            <b/>
            <sz val="8"/>
            <color indexed="81"/>
            <rFont val="Tahoma"/>
            <family val="2"/>
          </rPr>
          <t>From ALISE:
Part I, Item 3, Fall</t>
        </r>
        <r>
          <rPr>
            <sz val="8"/>
            <color indexed="81"/>
            <rFont val="Tahoma"/>
            <family val="2"/>
          </rPr>
          <t xml:space="preserve">
</t>
        </r>
      </text>
    </comment>
    <comment ref="I21" authorId="0" shapeId="0" xr:uid="{00000000-0006-0000-1E00-000003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1E00-000004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1E00-000005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1E00-000006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1E00-000007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1E00-000008000000}">
      <text>
        <r>
          <rPr>
            <b/>
            <sz val="8"/>
            <color indexed="81"/>
            <rFont val="Tahoma"/>
            <family val="2"/>
          </rPr>
          <t>From ALISE:
Part II, Table II-3, Total, ALA only</t>
        </r>
        <r>
          <rPr>
            <sz val="8"/>
            <color indexed="81"/>
            <rFont val="Tahoma"/>
            <family val="2"/>
          </rPr>
          <t xml:space="preserve">
</t>
        </r>
      </text>
    </comment>
    <comment ref="R21" authorId="0" shapeId="0" xr:uid="{00000000-0006-0000-1E00-000009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1E00-00000A000000}">
      <text>
        <r>
          <rPr>
            <b/>
            <sz val="8"/>
            <color indexed="81"/>
            <rFont val="Tahoma"/>
            <family val="2"/>
          </rPr>
          <t>From ALISE:
Part IV, Line 59</t>
        </r>
        <r>
          <rPr>
            <sz val="8"/>
            <color indexed="81"/>
            <rFont val="Tahoma"/>
            <family val="2"/>
          </rPr>
          <t xml:space="preserve">
</t>
        </r>
      </text>
    </comment>
    <comment ref="U21" authorId="0" shapeId="0" xr:uid="{00000000-0006-0000-1E00-00000B000000}">
      <text>
        <r>
          <rPr>
            <b/>
            <sz val="8"/>
            <color indexed="81"/>
            <rFont val="Tahoma"/>
            <family val="2"/>
          </rPr>
          <t>From ALISE:
Part IV, Line 60</t>
        </r>
        <r>
          <rPr>
            <sz val="8"/>
            <color indexed="81"/>
            <rFont val="Tahoma"/>
            <family val="2"/>
          </rPr>
          <t xml:space="preserve">
</t>
        </r>
      </text>
    </comment>
    <comment ref="V21" authorId="0" shapeId="0" xr:uid="{00000000-0006-0000-1E00-00000C000000}">
      <text>
        <r>
          <rPr>
            <b/>
            <sz val="8"/>
            <color indexed="81"/>
            <rFont val="Tahoma"/>
            <family val="2"/>
          </rPr>
          <t>From ALISE:
Part IV, Total lines 61, 62, 63, 64, and 68</t>
        </r>
        <r>
          <rPr>
            <sz val="8"/>
            <color indexed="81"/>
            <rFont val="Tahoma"/>
            <family val="2"/>
          </rPr>
          <t xml:space="preserve">
</t>
        </r>
      </text>
    </comment>
    <comment ref="B23" authorId="0" shapeId="0" xr:uid="{00000000-0006-0000-1E00-00000D000000}">
      <text>
        <r>
          <rPr>
            <b/>
            <sz val="8"/>
            <color indexed="81"/>
            <rFont val="Tahoma"/>
            <family val="2"/>
          </rPr>
          <t>From ALISE:
Part I, Item 2, Fall</t>
        </r>
        <r>
          <rPr>
            <sz val="8"/>
            <color indexed="81"/>
            <rFont val="Tahoma"/>
            <family val="2"/>
          </rPr>
          <t xml:space="preserve">
</t>
        </r>
      </text>
    </comment>
    <comment ref="C23" authorId="0" shapeId="0" xr:uid="{00000000-0006-0000-1E00-00000E000000}">
      <text>
        <r>
          <rPr>
            <b/>
            <sz val="8"/>
            <color indexed="81"/>
            <rFont val="Tahoma"/>
            <family val="2"/>
          </rPr>
          <t>From ALISE:
Part I, Item 3, Fall</t>
        </r>
        <r>
          <rPr>
            <sz val="8"/>
            <color indexed="81"/>
            <rFont val="Tahoma"/>
            <family val="2"/>
          </rPr>
          <t xml:space="preserve">
</t>
        </r>
      </text>
    </comment>
    <comment ref="I23" authorId="0" shapeId="0" xr:uid="{00000000-0006-0000-1E00-00000F000000}">
      <text>
        <r>
          <rPr>
            <b/>
            <sz val="8"/>
            <color indexed="81"/>
            <rFont val="Tahoma"/>
            <family val="2"/>
          </rPr>
          <t>From ALISE:
Part II, Table II-1,
Total  Full-time,
ALA only</t>
        </r>
        <r>
          <rPr>
            <sz val="8"/>
            <color indexed="81"/>
            <rFont val="Tahoma"/>
            <family val="2"/>
          </rPr>
          <t xml:space="preserve">
</t>
        </r>
      </text>
    </comment>
    <comment ref="J23" authorId="0" shapeId="0" xr:uid="{00000000-0006-0000-1E00-000010000000}">
      <text>
        <r>
          <rPr>
            <b/>
            <sz val="8"/>
            <color indexed="81"/>
            <rFont val="Tahoma"/>
            <family val="2"/>
          </rPr>
          <t>From ALISE:
Part II, Table II-1,
Total No. Part-time,
ALA only</t>
        </r>
        <r>
          <rPr>
            <sz val="8"/>
            <color indexed="81"/>
            <rFont val="Tahoma"/>
            <family val="2"/>
          </rPr>
          <t xml:space="preserve">
</t>
        </r>
      </text>
    </comment>
    <comment ref="L23" authorId="0" shapeId="0" xr:uid="{00000000-0006-0000-1E00-000011000000}">
      <text>
        <r>
          <rPr>
            <b/>
            <sz val="8"/>
            <color indexed="81"/>
            <rFont val="Tahoma"/>
            <family val="2"/>
          </rPr>
          <t xml:space="preserve">From ALISE:
Part II, Table II-1,
Total Part-Time FTE, ALA only
</t>
        </r>
        <r>
          <rPr>
            <sz val="8"/>
            <color indexed="81"/>
            <rFont val="Tahoma"/>
            <family val="2"/>
          </rPr>
          <t xml:space="preserve">
</t>
        </r>
      </text>
    </comment>
    <comment ref="N23" authorId="0" shapeId="0" xr:uid="{00000000-0006-0000-1E00-000012000000}">
      <text>
        <r>
          <rPr>
            <b/>
            <sz val="8"/>
            <color indexed="81"/>
            <rFont val="Tahoma"/>
            <family val="2"/>
          </rPr>
          <t xml:space="preserve">From ALISE:
Part II, Table 11-4, Total AI, AP, B, and H,
ALA only  </t>
        </r>
        <r>
          <rPr>
            <sz val="8"/>
            <color indexed="81"/>
            <rFont val="Tahoma"/>
            <family val="2"/>
          </rPr>
          <t xml:space="preserve">
</t>
        </r>
      </text>
    </comment>
    <comment ref="O23" authorId="0" shapeId="0" xr:uid="{00000000-0006-0000-1E00-000013000000}">
      <text>
        <r>
          <rPr>
            <b/>
            <sz val="8"/>
            <color indexed="81"/>
            <rFont val="Tahoma"/>
            <family val="2"/>
          </rPr>
          <t>From ALISE:
Part II, Table II-1, Total FTE, all programs</t>
        </r>
        <r>
          <rPr>
            <sz val="8"/>
            <color indexed="81"/>
            <rFont val="Tahoma"/>
            <family val="2"/>
          </rPr>
          <t xml:space="preserve">
</t>
        </r>
      </text>
    </comment>
    <comment ref="Q23" authorId="0" shapeId="0" xr:uid="{00000000-0006-0000-1E00-000014000000}">
      <text>
        <r>
          <rPr>
            <b/>
            <sz val="8"/>
            <color indexed="81"/>
            <rFont val="Tahoma"/>
            <family val="2"/>
          </rPr>
          <t>From ALISE:
Part II, Table II-3, Total, ALA only</t>
        </r>
        <r>
          <rPr>
            <sz val="8"/>
            <color indexed="81"/>
            <rFont val="Tahoma"/>
            <family val="2"/>
          </rPr>
          <t xml:space="preserve">
</t>
        </r>
      </text>
    </comment>
    <comment ref="R23" authorId="0" shapeId="0" xr:uid="{00000000-0006-0000-1E00-000015000000}">
      <text>
        <r>
          <rPr>
            <b/>
            <sz val="8"/>
            <color indexed="81"/>
            <rFont val="Tahoma"/>
            <family val="2"/>
          </rPr>
          <t>From ALISE:
Part II, Table II-3, Total all other programs</t>
        </r>
        <r>
          <rPr>
            <sz val="8"/>
            <color indexed="81"/>
            <rFont val="Tahoma"/>
            <family val="2"/>
          </rPr>
          <t xml:space="preserve">
</t>
        </r>
      </text>
    </comment>
    <comment ref="S23" authorId="0" shapeId="0" xr:uid="{00000000-0006-0000-1E00-000016000000}">
      <text>
        <r>
          <rPr>
            <b/>
            <sz val="8"/>
            <color indexed="81"/>
            <rFont val="Tahoma"/>
            <family val="2"/>
          </rPr>
          <t>From ALISE:
Part IV, Line 59</t>
        </r>
        <r>
          <rPr>
            <sz val="8"/>
            <color indexed="81"/>
            <rFont val="Tahoma"/>
            <family val="2"/>
          </rPr>
          <t xml:space="preserve">
</t>
        </r>
      </text>
    </comment>
    <comment ref="U23" authorId="0" shapeId="0" xr:uid="{00000000-0006-0000-1E00-000017000000}">
      <text>
        <r>
          <rPr>
            <b/>
            <sz val="8"/>
            <color indexed="81"/>
            <rFont val="Tahoma"/>
            <family val="2"/>
          </rPr>
          <t>From ALISE:
Part IV, Line 60</t>
        </r>
        <r>
          <rPr>
            <sz val="8"/>
            <color indexed="81"/>
            <rFont val="Tahoma"/>
            <family val="2"/>
          </rPr>
          <t xml:space="preserve">
</t>
        </r>
      </text>
    </comment>
    <comment ref="V23" authorId="0" shapeId="0" xr:uid="{00000000-0006-0000-1E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O19" authorId="0" shapeId="0" xr:uid="{00000000-0006-0000-1F00-000001000000}">
      <text>
        <r>
          <rPr>
            <b/>
            <sz val="8"/>
            <color indexed="81"/>
            <rFont val="Tahoma"/>
            <family val="2"/>
          </rPr>
          <t>From ALISE:
Part II, Table II-1, Total FTE, all programs</t>
        </r>
        <r>
          <rPr>
            <sz val="8"/>
            <color indexed="81"/>
            <rFont val="Tahoma"/>
            <family val="2"/>
          </rPr>
          <t xml:space="preserve">
</t>
        </r>
      </text>
    </comment>
    <comment ref="B20" authorId="0" shapeId="0" xr:uid="{00000000-0006-0000-1F00-000002000000}">
      <text>
        <r>
          <rPr>
            <b/>
            <sz val="8"/>
            <color indexed="81"/>
            <rFont val="Tahoma"/>
            <family val="2"/>
          </rPr>
          <t>From ALISE:
Part I, Item 2, Fall</t>
        </r>
        <r>
          <rPr>
            <sz val="8"/>
            <color indexed="81"/>
            <rFont val="Tahoma"/>
            <family val="2"/>
          </rPr>
          <t xml:space="preserve">
</t>
        </r>
      </text>
    </comment>
    <comment ref="C20" authorId="0" shapeId="0" xr:uid="{00000000-0006-0000-1F00-000003000000}">
      <text>
        <r>
          <rPr>
            <b/>
            <sz val="8"/>
            <color indexed="81"/>
            <rFont val="Tahoma"/>
            <family val="2"/>
          </rPr>
          <t>From ALISE:
Part I, Item 3, Fall</t>
        </r>
        <r>
          <rPr>
            <sz val="8"/>
            <color indexed="81"/>
            <rFont val="Tahoma"/>
            <family val="2"/>
          </rPr>
          <t xml:space="preserve">
</t>
        </r>
      </text>
    </comment>
    <comment ref="I20" authorId="0" shapeId="0" xr:uid="{00000000-0006-0000-1F00-000004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1F00-000005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1F00-000006000000}">
      <text>
        <r>
          <rPr>
            <b/>
            <sz val="8"/>
            <color indexed="81"/>
            <rFont val="Tahoma"/>
            <family val="2"/>
          </rPr>
          <t xml:space="preserve">From ALISE:
Part II, Table II-1,
Total Part-Time FTE, ALA only
</t>
        </r>
        <r>
          <rPr>
            <sz val="8"/>
            <color indexed="81"/>
            <rFont val="Tahoma"/>
            <family val="2"/>
          </rPr>
          <t xml:space="preserve">
</t>
        </r>
      </text>
    </comment>
    <comment ref="O20" authorId="0" shapeId="0" xr:uid="{00000000-0006-0000-1F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1F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1F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1F00-00000A000000}">
      <text>
        <r>
          <rPr>
            <b/>
            <sz val="8"/>
            <color indexed="81"/>
            <rFont val="Tahoma"/>
            <family val="2"/>
          </rPr>
          <t>From ALISE:
Part IV, Line 59</t>
        </r>
        <r>
          <rPr>
            <sz val="8"/>
            <color indexed="81"/>
            <rFont val="Tahoma"/>
            <family val="2"/>
          </rPr>
          <t xml:space="preserve">
</t>
        </r>
      </text>
    </comment>
    <comment ref="U20" authorId="0" shapeId="0" xr:uid="{00000000-0006-0000-1F00-00000B000000}">
      <text>
        <r>
          <rPr>
            <b/>
            <sz val="8"/>
            <color indexed="81"/>
            <rFont val="Tahoma"/>
            <family val="2"/>
          </rPr>
          <t>From ALISE:
Part IV, Line 60</t>
        </r>
        <r>
          <rPr>
            <sz val="8"/>
            <color indexed="81"/>
            <rFont val="Tahoma"/>
            <family val="2"/>
          </rPr>
          <t xml:space="preserve">
</t>
        </r>
      </text>
    </comment>
    <comment ref="V20" authorId="0" shapeId="0" xr:uid="{00000000-0006-0000-1F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1F00-00000D000000}">
      <text>
        <r>
          <rPr>
            <b/>
            <sz val="8"/>
            <color indexed="81"/>
            <rFont val="Tahoma"/>
            <family val="2"/>
          </rPr>
          <t>From ALISE:
Part I, Item 2, Fall</t>
        </r>
        <r>
          <rPr>
            <sz val="8"/>
            <color indexed="81"/>
            <rFont val="Tahoma"/>
            <family val="2"/>
          </rPr>
          <t xml:space="preserve">
</t>
        </r>
      </text>
    </comment>
    <comment ref="C22" authorId="0" shapeId="0" xr:uid="{00000000-0006-0000-1F00-00000E000000}">
      <text>
        <r>
          <rPr>
            <b/>
            <sz val="8"/>
            <color indexed="81"/>
            <rFont val="Tahoma"/>
            <family val="2"/>
          </rPr>
          <t>From ALISE:
Part I, Item 3, Fall</t>
        </r>
        <r>
          <rPr>
            <sz val="8"/>
            <color indexed="81"/>
            <rFont val="Tahoma"/>
            <family val="2"/>
          </rPr>
          <t xml:space="preserve">
</t>
        </r>
      </text>
    </comment>
    <comment ref="I22" authorId="0" shapeId="0" xr:uid="{00000000-0006-0000-1F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1F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1F00-000011000000}">
      <text>
        <r>
          <rPr>
            <b/>
            <sz val="8"/>
            <color indexed="81"/>
            <rFont val="Tahoma"/>
            <family val="2"/>
          </rPr>
          <t xml:space="preserve">From ALISE:
Part II, Table II-1,
Total Part-Time FTE, ALA only
</t>
        </r>
        <r>
          <rPr>
            <sz val="8"/>
            <color indexed="81"/>
            <rFont val="Tahoma"/>
            <family val="2"/>
          </rPr>
          <t xml:space="preserve">
</t>
        </r>
      </text>
    </comment>
    <comment ref="O22" authorId="0" shapeId="0" xr:uid="{00000000-0006-0000-1F00-000012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1F00-000013000000}">
      <text>
        <r>
          <rPr>
            <b/>
            <sz val="8"/>
            <color indexed="81"/>
            <rFont val="Tahoma"/>
            <family val="2"/>
          </rPr>
          <t>From ALISE:
Part II, Table II-3, Total, ALA only</t>
        </r>
        <r>
          <rPr>
            <sz val="8"/>
            <color indexed="81"/>
            <rFont val="Tahoma"/>
            <family val="2"/>
          </rPr>
          <t xml:space="preserve">
</t>
        </r>
      </text>
    </comment>
    <comment ref="R22" authorId="0" shapeId="0" xr:uid="{00000000-0006-0000-1F00-000014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1F00-000015000000}">
      <text>
        <r>
          <rPr>
            <b/>
            <sz val="8"/>
            <color indexed="81"/>
            <rFont val="Tahoma"/>
            <family val="2"/>
          </rPr>
          <t>From ALISE:
Part IV, Line 59</t>
        </r>
        <r>
          <rPr>
            <sz val="8"/>
            <color indexed="81"/>
            <rFont val="Tahoma"/>
            <family val="2"/>
          </rPr>
          <t xml:space="preserve">
</t>
        </r>
      </text>
    </comment>
    <comment ref="U22" authorId="0" shapeId="0" xr:uid="{00000000-0006-0000-1F00-000016000000}">
      <text>
        <r>
          <rPr>
            <b/>
            <sz val="8"/>
            <color indexed="81"/>
            <rFont val="Tahoma"/>
            <family val="2"/>
          </rPr>
          <t>From ALISE:
Part IV, Line 60</t>
        </r>
        <r>
          <rPr>
            <sz val="8"/>
            <color indexed="81"/>
            <rFont val="Tahoma"/>
            <family val="2"/>
          </rPr>
          <t xml:space="preserve">
</t>
        </r>
      </text>
    </comment>
    <comment ref="V22" authorId="0" shapeId="0" xr:uid="{00000000-0006-0000-1F00-000017000000}">
      <text>
        <r>
          <rPr>
            <b/>
            <sz val="8"/>
            <color indexed="81"/>
            <rFont val="Tahoma"/>
            <family val="2"/>
          </rPr>
          <t>From ALISE:
Part IV, Total lines 61, 62, 63, 64, and 68</t>
        </r>
        <r>
          <rPr>
            <sz val="8"/>
            <color indexed="81"/>
            <rFont val="Tahoma"/>
            <family val="2"/>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2" authorId="0" shapeId="0" xr:uid="{39C9C5A3-1A53-45C7-9B33-491AD0A62E44}">
      <text>
        <r>
          <rPr>
            <b/>
            <sz val="8"/>
            <color indexed="81"/>
            <rFont val="Tahoma"/>
            <family val="2"/>
          </rPr>
          <t>From ALISE:
Part I, Item 2, Fall</t>
        </r>
        <r>
          <rPr>
            <sz val="8"/>
            <color indexed="81"/>
            <rFont val="Tahoma"/>
            <family val="2"/>
          </rPr>
          <t xml:space="preserve">
</t>
        </r>
      </text>
    </comment>
    <comment ref="C22" authorId="0" shapeId="0" xr:uid="{477D041E-4206-4F6B-B47F-738916E9877C}">
      <text>
        <r>
          <rPr>
            <b/>
            <sz val="8"/>
            <color indexed="81"/>
            <rFont val="Tahoma"/>
            <family val="2"/>
          </rPr>
          <t>From ALISE:
Part I, Item 3, Fall</t>
        </r>
        <r>
          <rPr>
            <sz val="8"/>
            <color indexed="81"/>
            <rFont val="Tahoma"/>
            <family val="2"/>
          </rPr>
          <t xml:space="preserve">
</t>
        </r>
      </text>
    </comment>
    <comment ref="I22" authorId="0" shapeId="0" xr:uid="{F680E236-83EC-46F8-97DB-FFA023062BB9}">
      <text>
        <r>
          <rPr>
            <b/>
            <sz val="8"/>
            <color indexed="81"/>
            <rFont val="Tahoma"/>
            <family val="2"/>
          </rPr>
          <t>From ALISE:
Part II, Table II-1,
Total  Full-time,
ALA only</t>
        </r>
        <r>
          <rPr>
            <sz val="8"/>
            <color indexed="81"/>
            <rFont val="Tahoma"/>
            <family val="2"/>
          </rPr>
          <t xml:space="preserve">
</t>
        </r>
      </text>
    </comment>
    <comment ref="J22" authorId="0" shapeId="0" xr:uid="{75003D90-5906-4B70-B212-0FFABD97EFD1}">
      <text>
        <r>
          <rPr>
            <b/>
            <sz val="8"/>
            <color indexed="81"/>
            <rFont val="Tahoma"/>
            <family val="2"/>
          </rPr>
          <t>From ALISE:
Part II, Table II-1,
Total No. Part-time,
ALA only</t>
        </r>
        <r>
          <rPr>
            <sz val="8"/>
            <color indexed="81"/>
            <rFont val="Tahoma"/>
            <family val="2"/>
          </rPr>
          <t xml:space="preserve">
</t>
        </r>
      </text>
    </comment>
    <comment ref="L22" authorId="0" shapeId="0" xr:uid="{CCBA9519-1380-4813-A80B-8CC81B809548}">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E332B3C3-1C21-49BC-911C-88EFD9260B9B}">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C04A0FD0-3C8B-44C3-98FC-865B83AC212B}">
      <text>
        <r>
          <rPr>
            <b/>
            <sz val="8"/>
            <color indexed="81"/>
            <rFont val="Tahoma"/>
            <family val="2"/>
          </rPr>
          <t>From ALISE:
Part II, Table II-1, Total FTE, all programs</t>
        </r>
        <r>
          <rPr>
            <sz val="8"/>
            <color indexed="81"/>
            <rFont val="Tahoma"/>
            <family val="2"/>
          </rPr>
          <t xml:space="preserve">
</t>
        </r>
      </text>
    </comment>
    <comment ref="Q22" authorId="0" shapeId="0" xr:uid="{6EBB53D2-9A96-4959-B83E-1B291B2ECBF1}">
      <text>
        <r>
          <rPr>
            <b/>
            <sz val="8"/>
            <color indexed="81"/>
            <rFont val="Tahoma"/>
            <family val="2"/>
          </rPr>
          <t>From ALISE:
Part II, Table II-3, Total, ALA only</t>
        </r>
        <r>
          <rPr>
            <sz val="8"/>
            <color indexed="81"/>
            <rFont val="Tahoma"/>
            <family val="2"/>
          </rPr>
          <t xml:space="preserve">
</t>
        </r>
      </text>
    </comment>
    <comment ref="R22" authorId="0" shapeId="0" xr:uid="{1355B4C2-F8E5-4953-A50C-F0D363E8F7A7}">
      <text>
        <r>
          <rPr>
            <b/>
            <sz val="8"/>
            <color indexed="81"/>
            <rFont val="Tahoma"/>
            <family val="2"/>
          </rPr>
          <t>From ALISE:
Part II, Table II-3, Total all other programs</t>
        </r>
        <r>
          <rPr>
            <sz val="8"/>
            <color indexed="81"/>
            <rFont val="Tahoma"/>
            <family val="2"/>
          </rPr>
          <t xml:space="preserve">
</t>
        </r>
      </text>
    </comment>
    <comment ref="S22" authorId="0" shapeId="0" xr:uid="{4B8BF93E-8A27-46F7-8DC3-F76772ABBABA}">
      <text>
        <r>
          <rPr>
            <b/>
            <sz val="8"/>
            <color indexed="81"/>
            <rFont val="Tahoma"/>
            <family val="2"/>
          </rPr>
          <t>From ALISE:
Part IV, Line 59</t>
        </r>
        <r>
          <rPr>
            <sz val="8"/>
            <color indexed="81"/>
            <rFont val="Tahoma"/>
            <family val="2"/>
          </rPr>
          <t xml:space="preserve">
</t>
        </r>
      </text>
    </comment>
    <comment ref="U22" authorId="0" shapeId="0" xr:uid="{2A6D6E37-CBA7-426B-955B-444A7E8C47D6}">
      <text>
        <r>
          <rPr>
            <b/>
            <sz val="8"/>
            <color indexed="81"/>
            <rFont val="Tahoma"/>
            <family val="2"/>
          </rPr>
          <t>From ALISE:
Part IV, Line 60</t>
        </r>
        <r>
          <rPr>
            <sz val="8"/>
            <color indexed="81"/>
            <rFont val="Tahoma"/>
            <family val="2"/>
          </rPr>
          <t xml:space="preserve">
</t>
        </r>
      </text>
    </comment>
    <comment ref="V22" authorId="0" shapeId="0" xr:uid="{C0654BEF-D9D6-43BA-B070-5280B669C089}">
      <text>
        <r>
          <rPr>
            <b/>
            <sz val="8"/>
            <color indexed="81"/>
            <rFont val="Tahoma"/>
            <family val="2"/>
          </rPr>
          <t>From ALISE:
Part IV, Total lines 61, 62, 63, 64, and 68</t>
        </r>
        <r>
          <rPr>
            <sz val="8"/>
            <color indexed="81"/>
            <rFont val="Tahoma"/>
            <family val="2"/>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2100-000001000000}">
      <text>
        <r>
          <rPr>
            <b/>
            <sz val="8"/>
            <color indexed="81"/>
            <rFont val="Tahoma"/>
            <family val="2"/>
          </rPr>
          <t>From ALISE:
Part I, Item 2, Fall</t>
        </r>
        <r>
          <rPr>
            <sz val="8"/>
            <color indexed="81"/>
            <rFont val="Tahoma"/>
            <family val="2"/>
          </rPr>
          <t xml:space="preserve">
</t>
        </r>
      </text>
    </comment>
    <comment ref="C20" authorId="0" shapeId="0" xr:uid="{00000000-0006-0000-2100-000002000000}">
      <text>
        <r>
          <rPr>
            <b/>
            <sz val="8"/>
            <color indexed="81"/>
            <rFont val="Tahoma"/>
            <family val="2"/>
          </rPr>
          <t>From ALISE:
Part I, Item 3, Fall</t>
        </r>
        <r>
          <rPr>
            <sz val="8"/>
            <color indexed="81"/>
            <rFont val="Tahoma"/>
            <family val="2"/>
          </rPr>
          <t xml:space="preserve">
</t>
        </r>
      </text>
    </comment>
    <comment ref="I20" authorId="0" shapeId="0" xr:uid="{00000000-0006-0000-21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21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21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21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21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21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21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2100-00000A000000}">
      <text>
        <r>
          <rPr>
            <b/>
            <sz val="8"/>
            <color indexed="81"/>
            <rFont val="Tahoma"/>
            <family val="2"/>
          </rPr>
          <t>From ALISE:
Part IV, Line 59</t>
        </r>
        <r>
          <rPr>
            <sz val="8"/>
            <color indexed="81"/>
            <rFont val="Tahoma"/>
            <family val="2"/>
          </rPr>
          <t xml:space="preserve">
</t>
        </r>
      </text>
    </comment>
    <comment ref="U20" authorId="0" shapeId="0" xr:uid="{00000000-0006-0000-2100-00000B000000}">
      <text>
        <r>
          <rPr>
            <b/>
            <sz val="8"/>
            <color indexed="81"/>
            <rFont val="Tahoma"/>
            <family val="2"/>
          </rPr>
          <t>From ALISE:
Part IV, Line 60</t>
        </r>
        <r>
          <rPr>
            <sz val="8"/>
            <color indexed="81"/>
            <rFont val="Tahoma"/>
            <family val="2"/>
          </rPr>
          <t xml:space="preserve">
</t>
        </r>
      </text>
    </comment>
    <comment ref="V20" authorId="0" shapeId="0" xr:uid="{00000000-0006-0000-21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2100-00000D000000}">
      <text>
        <r>
          <rPr>
            <b/>
            <sz val="8"/>
            <color indexed="81"/>
            <rFont val="Tahoma"/>
            <family val="2"/>
          </rPr>
          <t>From ALISE:
Part I, Item 2, Fall</t>
        </r>
        <r>
          <rPr>
            <sz val="8"/>
            <color indexed="81"/>
            <rFont val="Tahoma"/>
            <family val="2"/>
          </rPr>
          <t xml:space="preserve">
</t>
        </r>
      </text>
    </comment>
    <comment ref="C22" authorId="0" shapeId="0" xr:uid="{00000000-0006-0000-2100-00000E000000}">
      <text>
        <r>
          <rPr>
            <b/>
            <sz val="8"/>
            <color indexed="81"/>
            <rFont val="Tahoma"/>
            <family val="2"/>
          </rPr>
          <t>From ALISE:
Part I, Item 3, Fall</t>
        </r>
        <r>
          <rPr>
            <sz val="8"/>
            <color indexed="81"/>
            <rFont val="Tahoma"/>
            <family val="2"/>
          </rPr>
          <t xml:space="preserve">
</t>
        </r>
      </text>
    </comment>
    <comment ref="I22" authorId="0" shapeId="0" xr:uid="{00000000-0006-0000-21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1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1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1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1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1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21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100-000016000000}">
      <text>
        <r>
          <rPr>
            <b/>
            <sz val="8"/>
            <color indexed="81"/>
            <rFont val="Tahoma"/>
            <family val="2"/>
          </rPr>
          <t>From ALISE:
Part IV, Line 59</t>
        </r>
        <r>
          <rPr>
            <sz val="8"/>
            <color indexed="81"/>
            <rFont val="Tahoma"/>
            <family val="2"/>
          </rPr>
          <t xml:space="preserve">
</t>
        </r>
      </text>
    </comment>
    <comment ref="U22" authorId="0" shapeId="0" xr:uid="{00000000-0006-0000-2100-000017000000}">
      <text>
        <r>
          <rPr>
            <b/>
            <sz val="8"/>
            <color indexed="81"/>
            <rFont val="Tahoma"/>
            <family val="2"/>
          </rPr>
          <t>From ALISE:
Part IV, Line 60</t>
        </r>
        <r>
          <rPr>
            <sz val="8"/>
            <color indexed="81"/>
            <rFont val="Tahoma"/>
            <family val="2"/>
          </rPr>
          <t xml:space="preserve">
</t>
        </r>
      </text>
    </comment>
    <comment ref="V22" authorId="0" shapeId="0" xr:uid="{00000000-0006-0000-21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2200-000001000000}">
      <text>
        <r>
          <rPr>
            <b/>
            <sz val="8"/>
            <color indexed="81"/>
            <rFont val="Tahoma"/>
            <family val="2"/>
          </rPr>
          <t>From ALISE:
Part I, Item 2, Fall</t>
        </r>
        <r>
          <rPr>
            <sz val="8"/>
            <color indexed="81"/>
            <rFont val="Tahoma"/>
            <family val="2"/>
          </rPr>
          <t xml:space="preserve">
</t>
        </r>
      </text>
    </comment>
    <comment ref="C20" authorId="0" shapeId="0" xr:uid="{00000000-0006-0000-2200-000002000000}">
      <text>
        <r>
          <rPr>
            <b/>
            <sz val="8"/>
            <color indexed="81"/>
            <rFont val="Tahoma"/>
            <family val="2"/>
          </rPr>
          <t>From ALISE:
Part I, Item 3, Fall</t>
        </r>
        <r>
          <rPr>
            <sz val="8"/>
            <color indexed="81"/>
            <rFont val="Tahoma"/>
            <family val="2"/>
          </rPr>
          <t xml:space="preserve">
</t>
        </r>
      </text>
    </comment>
    <comment ref="I20" authorId="0" shapeId="0" xr:uid="{00000000-0006-0000-22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22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22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22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22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22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22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2200-00000A000000}">
      <text>
        <r>
          <rPr>
            <b/>
            <sz val="8"/>
            <color indexed="81"/>
            <rFont val="Tahoma"/>
            <family val="2"/>
          </rPr>
          <t>From ALISE:
Part IV, Line 59</t>
        </r>
        <r>
          <rPr>
            <sz val="8"/>
            <color indexed="81"/>
            <rFont val="Tahoma"/>
            <family val="2"/>
          </rPr>
          <t xml:space="preserve">
</t>
        </r>
      </text>
    </comment>
    <comment ref="U20" authorId="0" shapeId="0" xr:uid="{00000000-0006-0000-2200-00000B000000}">
      <text>
        <r>
          <rPr>
            <b/>
            <sz val="8"/>
            <color indexed="81"/>
            <rFont val="Tahoma"/>
            <family val="2"/>
          </rPr>
          <t>From ALISE:
Part IV, Line 60</t>
        </r>
        <r>
          <rPr>
            <sz val="8"/>
            <color indexed="81"/>
            <rFont val="Tahoma"/>
            <family val="2"/>
          </rPr>
          <t xml:space="preserve">
</t>
        </r>
      </text>
    </comment>
    <comment ref="V20" authorId="0" shapeId="0" xr:uid="{00000000-0006-0000-2200-00000C000000}">
      <text>
        <r>
          <rPr>
            <b/>
            <sz val="8"/>
            <color indexed="81"/>
            <rFont val="Tahoma"/>
            <family val="2"/>
          </rPr>
          <t>From ALISE:
Part IV, Total lines 61, 62, 63, 64, and 68</t>
        </r>
        <r>
          <rPr>
            <sz val="8"/>
            <color indexed="81"/>
            <rFont val="Tahoma"/>
            <family val="2"/>
          </rPr>
          <t xml:space="preserve">
</t>
        </r>
      </text>
    </comment>
    <comment ref="B21" authorId="0" shapeId="0" xr:uid="{00000000-0006-0000-2200-00000D000000}">
      <text>
        <r>
          <rPr>
            <b/>
            <sz val="8"/>
            <color indexed="81"/>
            <rFont val="Tahoma"/>
            <family val="2"/>
          </rPr>
          <t>From ALISE:
Part I, Item 2, Fall</t>
        </r>
        <r>
          <rPr>
            <sz val="8"/>
            <color indexed="81"/>
            <rFont val="Tahoma"/>
            <family val="2"/>
          </rPr>
          <t xml:space="preserve">
</t>
        </r>
      </text>
    </comment>
    <comment ref="C21" authorId="0" shapeId="0" xr:uid="{00000000-0006-0000-2200-00000E000000}">
      <text>
        <r>
          <rPr>
            <b/>
            <sz val="8"/>
            <color indexed="81"/>
            <rFont val="Tahoma"/>
            <family val="2"/>
          </rPr>
          <t>From ALISE:
Part I, Item 3, Fall</t>
        </r>
        <r>
          <rPr>
            <sz val="8"/>
            <color indexed="81"/>
            <rFont val="Tahoma"/>
            <family val="2"/>
          </rPr>
          <t xml:space="preserve">
</t>
        </r>
      </text>
    </comment>
    <comment ref="I21" authorId="0" shapeId="0" xr:uid="{00000000-0006-0000-2200-00000F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2200-000010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2200-000011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2200-000012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2200-000013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2200-000014000000}">
      <text>
        <r>
          <rPr>
            <b/>
            <sz val="8"/>
            <color indexed="81"/>
            <rFont val="Tahoma"/>
            <family val="2"/>
          </rPr>
          <t>From ALISE:
Part II, Table II-3, Total, ALA only</t>
        </r>
        <r>
          <rPr>
            <sz val="8"/>
            <color indexed="81"/>
            <rFont val="Tahoma"/>
            <family val="2"/>
          </rPr>
          <t xml:space="preserve">
</t>
        </r>
      </text>
    </comment>
    <comment ref="R21" authorId="0" shapeId="0" xr:uid="{00000000-0006-0000-2200-000015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2200-000016000000}">
      <text>
        <r>
          <rPr>
            <b/>
            <sz val="8"/>
            <color indexed="81"/>
            <rFont val="Tahoma"/>
            <family val="2"/>
          </rPr>
          <t>From ALISE:
Part IV, Line 59</t>
        </r>
        <r>
          <rPr>
            <sz val="8"/>
            <color indexed="81"/>
            <rFont val="Tahoma"/>
            <family val="2"/>
          </rPr>
          <t xml:space="preserve">
</t>
        </r>
      </text>
    </comment>
    <comment ref="U21" authorId="0" shapeId="0" xr:uid="{00000000-0006-0000-2200-000017000000}">
      <text>
        <r>
          <rPr>
            <b/>
            <sz val="8"/>
            <color indexed="81"/>
            <rFont val="Tahoma"/>
            <family val="2"/>
          </rPr>
          <t>From ALISE:
Part IV, Line 60</t>
        </r>
        <r>
          <rPr>
            <sz val="8"/>
            <color indexed="81"/>
            <rFont val="Tahoma"/>
            <family val="2"/>
          </rPr>
          <t xml:space="preserve">
</t>
        </r>
      </text>
    </comment>
    <comment ref="V21" authorId="0" shapeId="0" xr:uid="{00000000-0006-0000-2200-000018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2200-000019000000}">
      <text>
        <r>
          <rPr>
            <b/>
            <sz val="8"/>
            <color indexed="81"/>
            <rFont val="Tahoma"/>
            <family val="2"/>
          </rPr>
          <t>From ALISE:
Part I, Item 2, Fall</t>
        </r>
        <r>
          <rPr>
            <sz val="8"/>
            <color indexed="81"/>
            <rFont val="Tahoma"/>
            <family val="2"/>
          </rPr>
          <t xml:space="preserve">
</t>
        </r>
      </text>
    </comment>
    <comment ref="C22" authorId="0" shapeId="0" xr:uid="{00000000-0006-0000-2200-00001A000000}">
      <text>
        <r>
          <rPr>
            <b/>
            <sz val="8"/>
            <color indexed="81"/>
            <rFont val="Tahoma"/>
            <family val="2"/>
          </rPr>
          <t>From ALISE:
Part I, Item 3, Fall</t>
        </r>
        <r>
          <rPr>
            <sz val="8"/>
            <color indexed="81"/>
            <rFont val="Tahoma"/>
            <family val="2"/>
          </rPr>
          <t xml:space="preserve">
</t>
        </r>
      </text>
    </comment>
    <comment ref="I22" authorId="0" shapeId="0" xr:uid="{00000000-0006-0000-2200-00001B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200-00001C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200-00001D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200-00001E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200-00001F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200-000020000000}">
      <text>
        <r>
          <rPr>
            <b/>
            <sz val="8"/>
            <color indexed="81"/>
            <rFont val="Tahoma"/>
            <family val="2"/>
          </rPr>
          <t>From ALISE:
Part II, Table II-3, Total, ALA only</t>
        </r>
        <r>
          <rPr>
            <sz val="8"/>
            <color indexed="81"/>
            <rFont val="Tahoma"/>
            <family val="2"/>
          </rPr>
          <t xml:space="preserve">
</t>
        </r>
      </text>
    </comment>
    <comment ref="R22" authorId="0" shapeId="0" xr:uid="{00000000-0006-0000-2200-000021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200-000022000000}">
      <text>
        <r>
          <rPr>
            <b/>
            <sz val="8"/>
            <color indexed="81"/>
            <rFont val="Tahoma"/>
            <family val="2"/>
          </rPr>
          <t>From ALISE:
Part IV, Line 59</t>
        </r>
        <r>
          <rPr>
            <sz val="8"/>
            <color indexed="81"/>
            <rFont val="Tahoma"/>
            <family val="2"/>
          </rPr>
          <t xml:space="preserve">
</t>
        </r>
      </text>
    </comment>
    <comment ref="U22" authorId="0" shapeId="0" xr:uid="{00000000-0006-0000-2200-000023000000}">
      <text>
        <r>
          <rPr>
            <b/>
            <sz val="8"/>
            <color indexed="81"/>
            <rFont val="Tahoma"/>
            <family val="2"/>
          </rPr>
          <t>From ALISE:
Part IV, Line 60</t>
        </r>
        <r>
          <rPr>
            <sz val="8"/>
            <color indexed="81"/>
            <rFont val="Tahoma"/>
            <family val="2"/>
          </rPr>
          <t xml:space="preserve">
</t>
        </r>
      </text>
    </comment>
    <comment ref="V22" authorId="0" shapeId="0" xr:uid="{00000000-0006-0000-22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2" authorId="0" shapeId="0" xr:uid="{00000000-0006-0000-2400-000001000000}">
      <text>
        <r>
          <rPr>
            <b/>
            <sz val="8"/>
            <color indexed="81"/>
            <rFont val="Tahoma"/>
            <family val="2"/>
          </rPr>
          <t>From ALISE:
Part I, Item 2, Fall</t>
        </r>
        <r>
          <rPr>
            <sz val="8"/>
            <color indexed="81"/>
            <rFont val="Tahoma"/>
            <family val="2"/>
          </rPr>
          <t xml:space="preserve">
</t>
        </r>
      </text>
    </comment>
    <comment ref="C22" authorId="0" shapeId="0" xr:uid="{00000000-0006-0000-2400-000002000000}">
      <text>
        <r>
          <rPr>
            <b/>
            <sz val="8"/>
            <color indexed="81"/>
            <rFont val="Tahoma"/>
            <family val="2"/>
          </rPr>
          <t>From ALISE:
Part I, Item 3, Fall</t>
        </r>
        <r>
          <rPr>
            <sz val="8"/>
            <color indexed="81"/>
            <rFont val="Tahoma"/>
            <family val="2"/>
          </rPr>
          <t xml:space="preserve">
</t>
        </r>
      </text>
    </comment>
    <comment ref="I22" authorId="0" shapeId="0" xr:uid="{00000000-0006-0000-2400-000003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400-000004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400-000005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400-000006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400-000007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400-000008000000}">
      <text>
        <r>
          <rPr>
            <b/>
            <sz val="8"/>
            <color indexed="81"/>
            <rFont val="Tahoma"/>
            <family val="2"/>
          </rPr>
          <t>From ALISE:
Part II, Table II-3, Total, ALA only</t>
        </r>
        <r>
          <rPr>
            <sz val="8"/>
            <color indexed="81"/>
            <rFont val="Tahoma"/>
            <family val="2"/>
          </rPr>
          <t xml:space="preserve">
</t>
        </r>
      </text>
    </comment>
    <comment ref="R22" authorId="0" shapeId="0" xr:uid="{00000000-0006-0000-2400-000009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400-00000A000000}">
      <text>
        <r>
          <rPr>
            <b/>
            <sz val="8"/>
            <color indexed="81"/>
            <rFont val="Tahoma"/>
            <family val="2"/>
          </rPr>
          <t>From ALISE:
Part IV, Line 59</t>
        </r>
        <r>
          <rPr>
            <sz val="8"/>
            <color indexed="81"/>
            <rFont val="Tahoma"/>
            <family val="2"/>
          </rPr>
          <t xml:space="preserve">
</t>
        </r>
      </text>
    </comment>
    <comment ref="U22" authorId="0" shapeId="0" xr:uid="{00000000-0006-0000-2400-00000B000000}">
      <text>
        <r>
          <rPr>
            <b/>
            <sz val="8"/>
            <color indexed="81"/>
            <rFont val="Tahoma"/>
            <family val="2"/>
          </rPr>
          <t>From ALISE:
Part IV, Line 60</t>
        </r>
        <r>
          <rPr>
            <sz val="8"/>
            <color indexed="81"/>
            <rFont val="Tahoma"/>
            <family val="2"/>
          </rPr>
          <t xml:space="preserve">
</t>
        </r>
      </text>
    </comment>
    <comment ref="V22" authorId="0" shapeId="0" xr:uid="{00000000-0006-0000-24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0" authorId="0" shapeId="0" xr:uid="{00000000-0006-0000-0300-000001000000}">
      <text>
        <r>
          <rPr>
            <sz val="11"/>
            <color rgb="FF000000"/>
            <rFont val="Calibri"/>
            <family val="2"/>
          </rPr>
          <t xml:space="preserve">From ALISE:
Part I, Item 2, Fall
</t>
        </r>
      </text>
    </comment>
    <comment ref="C20" authorId="0" shapeId="0" xr:uid="{00000000-0006-0000-0300-000002000000}">
      <text>
        <r>
          <rPr>
            <sz val="11"/>
            <color rgb="FF000000"/>
            <rFont val="Calibri"/>
            <family val="2"/>
          </rPr>
          <t xml:space="preserve">From ALISE:
Part I, Item 3, Fall
</t>
        </r>
      </text>
    </comment>
    <comment ref="I20" authorId="0" shapeId="0" xr:uid="{00000000-0006-0000-0300-000003000000}">
      <text>
        <r>
          <rPr>
            <sz val="11"/>
            <color rgb="FF000000"/>
            <rFont val="Calibri"/>
            <family val="2"/>
          </rPr>
          <t xml:space="preserve">From ALISE:
Part II, Table II-1,
Total  Full-time,
ALA only
</t>
        </r>
      </text>
    </comment>
    <comment ref="J20" authorId="0" shapeId="0" xr:uid="{00000000-0006-0000-0300-000004000000}">
      <text>
        <r>
          <rPr>
            <sz val="11"/>
            <color rgb="FF000000"/>
            <rFont val="Calibri"/>
            <family val="2"/>
          </rPr>
          <t xml:space="preserve">From ALISE:
Part II, Table II-1,
Total No. Part-time,
ALA only
</t>
        </r>
      </text>
    </comment>
    <comment ref="L20" authorId="0" shapeId="0" xr:uid="{00000000-0006-0000-0300-000005000000}">
      <text>
        <r>
          <rPr>
            <sz val="11"/>
            <color rgb="FF000000"/>
            <rFont val="Calibri"/>
            <family val="2"/>
          </rPr>
          <t xml:space="preserve">From ALISE:
Part II, Table II-1,
Total Part-Time FTE, ALA only
</t>
        </r>
      </text>
    </comment>
    <comment ref="N20" authorId="0" shapeId="0" xr:uid="{00000000-0006-0000-0300-000006000000}">
      <text>
        <r>
          <rPr>
            <sz val="11"/>
            <color rgb="FF000000"/>
            <rFont val="Calibri"/>
            <family val="2"/>
          </rPr>
          <t xml:space="preserve">From ALISE:
Part II, Table 11-4, Total AI, AP, B, and H,
ALA only  
</t>
        </r>
      </text>
    </comment>
    <comment ref="O20" authorId="0" shapeId="0" xr:uid="{00000000-0006-0000-0300-000007000000}">
      <text>
        <r>
          <rPr>
            <sz val="11"/>
            <color rgb="FF000000"/>
            <rFont val="Calibri"/>
            <family val="2"/>
          </rPr>
          <t xml:space="preserve">From ALISE:
Part II, Table II-1, Total FTE, all programs
</t>
        </r>
      </text>
    </comment>
    <comment ref="Q20" authorId="0" shapeId="0" xr:uid="{00000000-0006-0000-0300-000008000000}">
      <text>
        <r>
          <rPr>
            <sz val="11"/>
            <color rgb="FF000000"/>
            <rFont val="Calibri"/>
            <family val="2"/>
          </rPr>
          <t xml:space="preserve">From ALISE:
Part II, Table II-3, Total, ALA only
</t>
        </r>
      </text>
    </comment>
    <comment ref="R20" authorId="0" shapeId="0" xr:uid="{00000000-0006-0000-0300-000009000000}">
      <text>
        <r>
          <rPr>
            <sz val="11"/>
            <color rgb="FF000000"/>
            <rFont val="Calibri"/>
            <family val="2"/>
          </rPr>
          <t xml:space="preserve">From ALISE:
Part II, Table II-3, Total all other programs
</t>
        </r>
      </text>
    </comment>
    <comment ref="S20" authorId="0" shapeId="0" xr:uid="{00000000-0006-0000-0300-00000A000000}">
      <text>
        <r>
          <rPr>
            <sz val="11"/>
            <color rgb="FF000000"/>
            <rFont val="Calibri"/>
            <family val="2"/>
          </rPr>
          <t xml:space="preserve">From ALISE:
Part IV, Line 59
</t>
        </r>
      </text>
    </comment>
    <comment ref="U20" authorId="0" shapeId="0" xr:uid="{00000000-0006-0000-0300-00000B000000}">
      <text>
        <r>
          <rPr>
            <sz val="11"/>
            <color rgb="FF000000"/>
            <rFont val="Calibri"/>
            <family val="2"/>
          </rPr>
          <t xml:space="preserve">From ALISE:
Part IV, Line 60
</t>
        </r>
      </text>
    </comment>
    <comment ref="V20" authorId="0" shapeId="0" xr:uid="{00000000-0006-0000-0300-00000C000000}">
      <text>
        <r>
          <rPr>
            <sz val="11"/>
            <color rgb="FF000000"/>
            <rFont val="Calibri"/>
            <family val="2"/>
          </rPr>
          <t xml:space="preserve">From ALISE:
Part IV, Total lines 61, 62, 63, 64, and 68
</t>
        </r>
      </text>
    </comment>
    <comment ref="B21" authorId="0" shapeId="0" xr:uid="{00000000-0006-0000-0300-00000D000000}">
      <text>
        <r>
          <rPr>
            <sz val="11"/>
            <color rgb="FF000000"/>
            <rFont val="Calibri"/>
            <family val="2"/>
          </rPr>
          <t xml:space="preserve">From ALISE:
Part I, Item 2, Fall
</t>
        </r>
      </text>
    </comment>
    <comment ref="C21" authorId="0" shapeId="0" xr:uid="{00000000-0006-0000-0300-00000E000000}">
      <text>
        <r>
          <rPr>
            <sz val="11"/>
            <color rgb="FF000000"/>
            <rFont val="Calibri"/>
            <family val="2"/>
          </rPr>
          <t xml:space="preserve">From ALISE:
Part I, Item 3, Fall
</t>
        </r>
      </text>
    </comment>
    <comment ref="I21" authorId="0" shapeId="0" xr:uid="{00000000-0006-0000-0300-00000F000000}">
      <text>
        <r>
          <rPr>
            <sz val="11"/>
            <color rgb="FF000000"/>
            <rFont val="Calibri"/>
            <family val="2"/>
          </rPr>
          <t xml:space="preserve">From ALISE:
Part II, Table II-1,
Total  Full-time,
ALA only
</t>
        </r>
      </text>
    </comment>
    <comment ref="J21" authorId="0" shapeId="0" xr:uid="{00000000-0006-0000-0300-000010000000}">
      <text>
        <r>
          <rPr>
            <sz val="11"/>
            <color rgb="FF000000"/>
            <rFont val="Calibri"/>
            <family val="2"/>
          </rPr>
          <t xml:space="preserve">From ALISE:
Part II, Table II-1,
Total No. Part-time,
ALA only
</t>
        </r>
      </text>
    </comment>
    <comment ref="L21" authorId="0" shapeId="0" xr:uid="{00000000-0006-0000-0300-000011000000}">
      <text>
        <r>
          <rPr>
            <sz val="11"/>
            <color rgb="FF000000"/>
            <rFont val="Calibri"/>
            <family val="2"/>
          </rPr>
          <t xml:space="preserve">From ALISE:
Part II, Table II-1,
Total Part-Time FTE, ALA only
</t>
        </r>
      </text>
    </comment>
    <comment ref="N21" authorId="0" shapeId="0" xr:uid="{00000000-0006-0000-0300-000012000000}">
      <text>
        <r>
          <rPr>
            <sz val="11"/>
            <color rgb="FF000000"/>
            <rFont val="Calibri"/>
            <family val="2"/>
          </rPr>
          <t xml:space="preserve">From ALISE:
Part II, Table 11-4, Total AI, AP, B, and H,
ALA only  
</t>
        </r>
      </text>
    </comment>
    <comment ref="O21" authorId="0" shapeId="0" xr:uid="{00000000-0006-0000-0300-000013000000}">
      <text>
        <r>
          <rPr>
            <sz val="11"/>
            <color rgb="FF000000"/>
            <rFont val="Calibri"/>
            <family val="2"/>
          </rPr>
          <t xml:space="preserve">From ALISE:
Part II, Table II-1, Total FTE, all programs
</t>
        </r>
      </text>
    </comment>
    <comment ref="Q21" authorId="0" shapeId="0" xr:uid="{00000000-0006-0000-0300-000014000000}">
      <text>
        <r>
          <rPr>
            <sz val="11"/>
            <color rgb="FF000000"/>
            <rFont val="Calibri"/>
            <family val="2"/>
          </rPr>
          <t xml:space="preserve">From ALISE:
Part II, Table II-3, Total, ALA only
</t>
        </r>
      </text>
    </comment>
    <comment ref="R21" authorId="0" shapeId="0" xr:uid="{00000000-0006-0000-0300-000015000000}">
      <text>
        <r>
          <rPr>
            <sz val="11"/>
            <color rgb="FF000000"/>
            <rFont val="Calibri"/>
            <family val="2"/>
          </rPr>
          <t xml:space="preserve">From ALISE:
Part II, Table II-3, Total all other programs
</t>
        </r>
      </text>
    </comment>
    <comment ref="S21" authorId="0" shapeId="0" xr:uid="{00000000-0006-0000-0300-000016000000}">
      <text>
        <r>
          <rPr>
            <sz val="11"/>
            <color rgb="FF000000"/>
            <rFont val="Calibri"/>
            <family val="2"/>
          </rPr>
          <t xml:space="preserve">From ALISE:
Part IV, Line 59
</t>
        </r>
      </text>
    </comment>
    <comment ref="U21" authorId="0" shapeId="0" xr:uid="{00000000-0006-0000-0300-000017000000}">
      <text>
        <r>
          <rPr>
            <sz val="11"/>
            <color rgb="FF000000"/>
            <rFont val="Calibri"/>
            <family val="2"/>
          </rPr>
          <t xml:space="preserve">From ALISE:
Part IV, Line 60
</t>
        </r>
      </text>
    </comment>
    <comment ref="V21" authorId="0" shapeId="0" xr:uid="{00000000-0006-0000-0300-000018000000}">
      <text>
        <r>
          <rPr>
            <sz val="11"/>
            <color rgb="FF000000"/>
            <rFont val="Calibri"/>
            <family val="2"/>
          </rPr>
          <t xml:space="preserve">From ALISE:
Part IV, Total lines 61, 62, 63, 64, and 68
</t>
        </r>
      </text>
    </comment>
    <comment ref="B22" authorId="0" shapeId="0" xr:uid="{00000000-0006-0000-0300-000019000000}">
      <text>
        <r>
          <rPr>
            <sz val="11"/>
            <color rgb="FF000000"/>
            <rFont val="Calibri"/>
            <family val="2"/>
          </rPr>
          <t xml:space="preserve">From ALISE:
Part I, Item 2, Fall
</t>
        </r>
      </text>
    </comment>
    <comment ref="C22" authorId="0" shapeId="0" xr:uid="{00000000-0006-0000-0300-00001A000000}">
      <text>
        <r>
          <rPr>
            <sz val="11"/>
            <color rgb="FF000000"/>
            <rFont val="Calibri"/>
            <family val="2"/>
          </rPr>
          <t xml:space="preserve">From ALISE:
Part I, Item 3, Fall
</t>
        </r>
      </text>
    </comment>
    <comment ref="I22" authorId="0" shapeId="0" xr:uid="{00000000-0006-0000-0300-00001B000000}">
      <text>
        <r>
          <rPr>
            <sz val="11"/>
            <color rgb="FF000000"/>
            <rFont val="Calibri"/>
            <family val="2"/>
          </rPr>
          <t xml:space="preserve">From ALISE:
Part II, Table II-1,
Total  Full-time,
ALA only
</t>
        </r>
      </text>
    </comment>
    <comment ref="J22" authorId="0" shapeId="0" xr:uid="{00000000-0006-0000-0300-00001C000000}">
      <text>
        <r>
          <rPr>
            <sz val="11"/>
            <color rgb="FF000000"/>
            <rFont val="Calibri"/>
            <family val="2"/>
          </rPr>
          <t xml:space="preserve">From ALISE:
Part II, Table II-1,
Total No. Part-time,
ALA only
</t>
        </r>
      </text>
    </comment>
    <comment ref="L22" authorId="0" shapeId="0" xr:uid="{00000000-0006-0000-0300-00001D000000}">
      <text>
        <r>
          <rPr>
            <sz val="11"/>
            <color rgb="FF000000"/>
            <rFont val="Calibri"/>
            <family val="2"/>
          </rPr>
          <t xml:space="preserve">From ALISE:
Part II, Table II-1,
Total Part-Time FTE, ALA only
</t>
        </r>
      </text>
    </comment>
    <comment ref="N22" authorId="0" shapeId="0" xr:uid="{00000000-0006-0000-0300-00001E000000}">
      <text>
        <r>
          <rPr>
            <sz val="11"/>
            <color rgb="FF000000"/>
            <rFont val="Calibri"/>
            <family val="2"/>
          </rPr>
          <t xml:space="preserve">From ALISE:
Part II, Table 11-4, Total AI, AP, B, and H,
ALA only  
</t>
        </r>
      </text>
    </comment>
    <comment ref="O22" authorId="0" shapeId="0" xr:uid="{00000000-0006-0000-0300-00001F000000}">
      <text>
        <r>
          <rPr>
            <sz val="11"/>
            <color rgb="FF000000"/>
            <rFont val="Calibri"/>
            <family val="2"/>
          </rPr>
          <t xml:space="preserve">From ALISE:
Part II, Table II-1, Total FTE, all programs
</t>
        </r>
      </text>
    </comment>
    <comment ref="Q22" authorId="0" shapeId="0" xr:uid="{00000000-0006-0000-0300-000020000000}">
      <text>
        <r>
          <rPr>
            <sz val="11"/>
            <color rgb="FF000000"/>
            <rFont val="Calibri"/>
            <family val="2"/>
          </rPr>
          <t xml:space="preserve">From ALISE:
Part II, Table II-3, Total, ALA only
</t>
        </r>
      </text>
    </comment>
    <comment ref="R22" authorId="0" shapeId="0" xr:uid="{00000000-0006-0000-0300-000021000000}">
      <text>
        <r>
          <rPr>
            <sz val="11"/>
            <color rgb="FF000000"/>
            <rFont val="Calibri"/>
            <family val="2"/>
          </rPr>
          <t xml:space="preserve">From ALISE:
Part II, Table II-3, Total all other programs
</t>
        </r>
      </text>
    </comment>
    <comment ref="S22" authorId="0" shapeId="0" xr:uid="{00000000-0006-0000-0300-000022000000}">
      <text>
        <r>
          <rPr>
            <sz val="11"/>
            <color rgb="FF000000"/>
            <rFont val="Calibri"/>
            <family val="2"/>
          </rPr>
          <t xml:space="preserve">From ALISE:
Part IV, Line 59
</t>
        </r>
      </text>
    </comment>
    <comment ref="U22" authorId="0" shapeId="0" xr:uid="{00000000-0006-0000-0300-000023000000}">
      <text>
        <r>
          <rPr>
            <sz val="11"/>
            <color rgb="FF000000"/>
            <rFont val="Calibri"/>
            <family val="2"/>
          </rPr>
          <t xml:space="preserve">From ALISE:
Part IV, Line 60
</t>
        </r>
      </text>
    </comment>
    <comment ref="V22" authorId="0" shapeId="0" xr:uid="{00000000-0006-0000-0300-000024000000}">
      <text>
        <r>
          <rPr>
            <sz val="11"/>
            <color rgb="FF000000"/>
            <rFont val="Calibri"/>
            <family val="2"/>
          </rPr>
          <t xml:space="preserve">From ALISE:
Part IV, Total lines 61, 62, 63, 64, and 68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tc={0E659DE3-B71C-407A-BED4-BA9FF8C02173}</author>
    <author>Karen O'Brien</author>
  </authors>
  <commentList>
    <comment ref="C5" authorId="0" shapeId="0" xr:uid="{0E659DE3-B71C-407A-BED4-BA9FF8C02173}">
      <text>
        <t>[Threaded comment]
Your version of Excel allows you to read this threaded comment; however, any edits to it will get removed if the file is opened in a newer version of Excel. Learn more: https://go.microsoft.com/fwlink/?linkid=870924
Comment:
    02/18/20:  Increase from 18 PT FTE Faculty in 2018 to 29 in 2019 is due to the change in the undergraduate Computer Science and Information Science BS programs from upper-division to freshman-admitting students and more freshman-level courses being taught.</t>
      </text>
    </comment>
    <comment ref="B22" authorId="1" shapeId="0" xr:uid="{00000000-0006-0000-2600-000001000000}">
      <text>
        <r>
          <rPr>
            <b/>
            <sz val="8"/>
            <color indexed="81"/>
            <rFont val="Tahoma"/>
            <family val="2"/>
          </rPr>
          <t>From ALISE:
Part I, Item 2, Fall</t>
        </r>
        <r>
          <rPr>
            <sz val="8"/>
            <color indexed="81"/>
            <rFont val="Tahoma"/>
            <family val="2"/>
          </rPr>
          <t xml:space="preserve">
</t>
        </r>
      </text>
    </comment>
    <comment ref="C22" authorId="1" shapeId="0" xr:uid="{00000000-0006-0000-2600-000002000000}">
      <text>
        <r>
          <rPr>
            <b/>
            <sz val="8"/>
            <color indexed="81"/>
            <rFont val="Tahoma"/>
            <family val="2"/>
          </rPr>
          <t>From ALISE:
Part I, Item 3, Fall</t>
        </r>
        <r>
          <rPr>
            <sz val="8"/>
            <color indexed="81"/>
            <rFont val="Tahoma"/>
            <family val="2"/>
          </rPr>
          <t xml:space="preserve">
</t>
        </r>
      </text>
    </comment>
    <comment ref="I22" authorId="1" shapeId="0" xr:uid="{00000000-0006-0000-2600-000003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2600-000004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2600-000005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2600-000006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2600-000007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2600-000008000000}">
      <text>
        <r>
          <rPr>
            <b/>
            <sz val="8"/>
            <color indexed="81"/>
            <rFont val="Tahoma"/>
            <family val="2"/>
          </rPr>
          <t>From ALISE:
Part II, Table II-3, Total, ALA only</t>
        </r>
        <r>
          <rPr>
            <sz val="8"/>
            <color indexed="81"/>
            <rFont val="Tahoma"/>
            <family val="2"/>
          </rPr>
          <t xml:space="preserve">
</t>
        </r>
      </text>
    </comment>
    <comment ref="R22" authorId="1" shapeId="0" xr:uid="{00000000-0006-0000-2600-000009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2600-00000A000000}">
      <text>
        <r>
          <rPr>
            <b/>
            <sz val="8"/>
            <color indexed="81"/>
            <rFont val="Tahoma"/>
            <family val="2"/>
          </rPr>
          <t>From ALISE:
Part IV, Line 59</t>
        </r>
        <r>
          <rPr>
            <sz val="8"/>
            <color indexed="81"/>
            <rFont val="Tahoma"/>
            <family val="2"/>
          </rPr>
          <t xml:space="preserve">
</t>
        </r>
      </text>
    </comment>
    <comment ref="U22" authorId="1" shapeId="0" xr:uid="{00000000-0006-0000-2600-00000B000000}">
      <text>
        <r>
          <rPr>
            <b/>
            <sz val="8"/>
            <color indexed="81"/>
            <rFont val="Tahoma"/>
            <family val="2"/>
          </rPr>
          <t>From ALISE:
Part IV, Line 60</t>
        </r>
        <r>
          <rPr>
            <sz val="8"/>
            <color indexed="81"/>
            <rFont val="Tahoma"/>
            <family val="2"/>
          </rPr>
          <t xml:space="preserve">
</t>
        </r>
      </text>
    </comment>
    <comment ref="V22" authorId="1" shapeId="0" xr:uid="{00000000-0006-0000-26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2700-000001000000}">
      <text>
        <r>
          <rPr>
            <b/>
            <sz val="8"/>
            <color indexed="81"/>
            <rFont val="Tahoma"/>
            <family val="2"/>
          </rPr>
          <t>From ALISE:
Part I, Item 2, Fall</t>
        </r>
        <r>
          <rPr>
            <sz val="8"/>
            <color indexed="81"/>
            <rFont val="Tahoma"/>
            <family val="2"/>
          </rPr>
          <t xml:space="preserve">
</t>
        </r>
      </text>
    </comment>
    <comment ref="C20" authorId="0" shapeId="0" xr:uid="{00000000-0006-0000-2700-000002000000}">
      <text>
        <r>
          <rPr>
            <b/>
            <sz val="8"/>
            <color indexed="81"/>
            <rFont val="Tahoma"/>
            <family val="2"/>
          </rPr>
          <t>From ALISE:
Part I, Item 3, Fall</t>
        </r>
        <r>
          <rPr>
            <sz val="8"/>
            <color indexed="81"/>
            <rFont val="Tahoma"/>
            <family val="2"/>
          </rPr>
          <t xml:space="preserve">
</t>
        </r>
      </text>
    </comment>
    <comment ref="I20" authorId="0" shapeId="0" xr:uid="{00000000-0006-0000-27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27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27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27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27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27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27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2700-00000A000000}">
      <text>
        <r>
          <rPr>
            <b/>
            <sz val="8"/>
            <color indexed="81"/>
            <rFont val="Tahoma"/>
            <family val="2"/>
          </rPr>
          <t>From ALISE:
Part IV, Line 59</t>
        </r>
        <r>
          <rPr>
            <sz val="8"/>
            <color indexed="81"/>
            <rFont val="Tahoma"/>
            <family val="2"/>
          </rPr>
          <t xml:space="preserve">
</t>
        </r>
      </text>
    </comment>
    <comment ref="U20" authorId="0" shapeId="0" xr:uid="{00000000-0006-0000-2700-00000B000000}">
      <text>
        <r>
          <rPr>
            <b/>
            <sz val="8"/>
            <color indexed="81"/>
            <rFont val="Tahoma"/>
            <family val="2"/>
          </rPr>
          <t>From ALISE:
Part IV, Line 60</t>
        </r>
        <r>
          <rPr>
            <sz val="8"/>
            <color indexed="81"/>
            <rFont val="Tahoma"/>
            <family val="2"/>
          </rPr>
          <t xml:space="preserve">
</t>
        </r>
      </text>
    </comment>
    <comment ref="V20" authorId="0" shapeId="0" xr:uid="{00000000-0006-0000-27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2700-00000D000000}">
      <text>
        <r>
          <rPr>
            <b/>
            <sz val="8"/>
            <color indexed="81"/>
            <rFont val="Tahoma"/>
            <family val="2"/>
          </rPr>
          <t>From ALISE:
Part I, Item 2, Fall</t>
        </r>
        <r>
          <rPr>
            <sz val="8"/>
            <color indexed="81"/>
            <rFont val="Tahoma"/>
            <family val="2"/>
          </rPr>
          <t xml:space="preserve">
</t>
        </r>
      </text>
    </comment>
    <comment ref="C22" authorId="0" shapeId="0" xr:uid="{00000000-0006-0000-2700-00000E000000}">
      <text>
        <r>
          <rPr>
            <b/>
            <sz val="8"/>
            <color indexed="81"/>
            <rFont val="Tahoma"/>
            <family val="2"/>
          </rPr>
          <t>From ALISE:
Part I, Item 3, Fall</t>
        </r>
        <r>
          <rPr>
            <sz val="8"/>
            <color indexed="81"/>
            <rFont val="Tahoma"/>
            <family val="2"/>
          </rPr>
          <t xml:space="preserve">
</t>
        </r>
      </text>
    </comment>
    <comment ref="I22" authorId="0" shapeId="0" xr:uid="{00000000-0006-0000-27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7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7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7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7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7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27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700-000016000000}">
      <text>
        <r>
          <rPr>
            <b/>
            <sz val="8"/>
            <color indexed="81"/>
            <rFont val="Tahoma"/>
            <family val="2"/>
          </rPr>
          <t>From ALISE:
Part IV, Line 59</t>
        </r>
        <r>
          <rPr>
            <sz val="8"/>
            <color indexed="81"/>
            <rFont val="Tahoma"/>
            <family val="2"/>
          </rPr>
          <t xml:space="preserve">
</t>
        </r>
      </text>
    </comment>
    <comment ref="U22" authorId="0" shapeId="0" xr:uid="{00000000-0006-0000-2700-000017000000}">
      <text>
        <r>
          <rPr>
            <b/>
            <sz val="8"/>
            <color indexed="81"/>
            <rFont val="Tahoma"/>
            <family val="2"/>
          </rPr>
          <t>From ALISE:
Part IV, Line 60</t>
        </r>
        <r>
          <rPr>
            <sz val="8"/>
            <color indexed="81"/>
            <rFont val="Tahoma"/>
            <family val="2"/>
          </rPr>
          <t xml:space="preserve">
</t>
        </r>
      </text>
    </comment>
    <comment ref="V22" authorId="0" shapeId="0" xr:uid="{00000000-0006-0000-27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
  </authors>
  <commentList>
    <comment ref="B22" authorId="0" shapeId="0" xr:uid="{00000000-0006-0000-2800-000001000000}">
      <text>
        <r>
          <rPr>
            <sz val="11"/>
            <color rgb="FF000000"/>
            <rFont val="Calibri"/>
            <family val="2"/>
          </rPr>
          <t xml:space="preserve">From ALISE:
Part I, Item 2, Fall
</t>
        </r>
      </text>
    </comment>
    <comment ref="C22" authorId="0" shapeId="0" xr:uid="{00000000-0006-0000-2800-000002000000}">
      <text>
        <r>
          <rPr>
            <sz val="11"/>
            <color rgb="FF000000"/>
            <rFont val="Calibri"/>
            <family val="2"/>
          </rPr>
          <t xml:space="preserve">From ALISE:
Part I, Item 3, Fall
</t>
        </r>
      </text>
    </comment>
    <comment ref="I22" authorId="0" shapeId="0" xr:uid="{00000000-0006-0000-2800-000003000000}">
      <text>
        <r>
          <rPr>
            <sz val="11"/>
            <color rgb="FF000000"/>
            <rFont val="Calibri"/>
            <family val="2"/>
          </rPr>
          <t xml:space="preserve">From ALISE:
Part II, Table II-1,
Total  Full-time,
ALA only
</t>
        </r>
      </text>
    </comment>
    <comment ref="J22" authorId="0" shapeId="0" xr:uid="{00000000-0006-0000-2800-000004000000}">
      <text>
        <r>
          <rPr>
            <sz val="11"/>
            <color rgb="FF000000"/>
            <rFont val="Calibri"/>
            <family val="2"/>
          </rPr>
          <t xml:space="preserve">From ALISE:
Part II, Table II-1,
Total No. Part-time,
ALA only
</t>
        </r>
      </text>
    </comment>
    <comment ref="L22" authorId="0" shapeId="0" xr:uid="{00000000-0006-0000-2800-000005000000}">
      <text>
        <r>
          <rPr>
            <sz val="11"/>
            <color rgb="FF000000"/>
            <rFont val="Calibri"/>
            <family val="2"/>
          </rPr>
          <t xml:space="preserve">From ALISE:
Part II, Table II-1,
Total Part-Time FTE, ALA only
</t>
        </r>
      </text>
    </comment>
    <comment ref="N22" authorId="0" shapeId="0" xr:uid="{00000000-0006-0000-2800-000006000000}">
      <text>
        <r>
          <rPr>
            <sz val="11"/>
            <color rgb="FF000000"/>
            <rFont val="Calibri"/>
            <family val="2"/>
          </rPr>
          <t xml:space="preserve">From ALISE:
Part II, Table 11-4, Total AI, AP, B, and H,
ALA only  
</t>
        </r>
      </text>
    </comment>
    <comment ref="O22" authorId="0" shapeId="0" xr:uid="{00000000-0006-0000-2800-000007000000}">
      <text>
        <r>
          <rPr>
            <sz val="11"/>
            <color rgb="FF000000"/>
            <rFont val="Calibri"/>
            <family val="2"/>
          </rPr>
          <t xml:space="preserve">From ALISE:
Part II, Table II-1, Total FTE, all programs
</t>
        </r>
      </text>
    </comment>
    <comment ref="Q22" authorId="0" shapeId="0" xr:uid="{00000000-0006-0000-2800-000008000000}">
      <text>
        <r>
          <rPr>
            <sz val="11"/>
            <color rgb="FF000000"/>
            <rFont val="Calibri"/>
            <family val="2"/>
          </rPr>
          <t xml:space="preserve">From ALISE:
Part II, Table II-3, Total, ALA only
</t>
        </r>
      </text>
    </comment>
    <comment ref="R22" authorId="0" shapeId="0" xr:uid="{00000000-0006-0000-2800-000009000000}">
      <text>
        <r>
          <rPr>
            <sz val="11"/>
            <color rgb="FF000000"/>
            <rFont val="Calibri"/>
            <family val="2"/>
          </rPr>
          <t xml:space="preserve">From ALISE:
Part II, Table II-3, Total all other programs
</t>
        </r>
      </text>
    </comment>
    <comment ref="S22" authorId="0" shapeId="0" xr:uid="{00000000-0006-0000-2800-00000A000000}">
      <text>
        <r>
          <rPr>
            <sz val="11"/>
            <color rgb="FF000000"/>
            <rFont val="Calibri"/>
            <family val="2"/>
          </rPr>
          <t xml:space="preserve">From ALISE:
</t>
        </r>
        <r>
          <rPr>
            <sz val="11"/>
            <color rgb="FF000000"/>
            <rFont val="Calibri"/>
            <family val="2"/>
          </rPr>
          <t xml:space="preserve">Part IV, Line 59
</t>
        </r>
      </text>
    </comment>
    <comment ref="U22" authorId="0" shapeId="0" xr:uid="{00000000-0006-0000-2800-00000B000000}">
      <text>
        <r>
          <rPr>
            <sz val="11"/>
            <color rgb="FF000000"/>
            <rFont val="Calibri"/>
            <family val="2"/>
          </rPr>
          <t xml:space="preserve">From ALISE:
Part IV, Line 60
</t>
        </r>
      </text>
    </comment>
    <comment ref="V22" authorId="0" shapeId="0" xr:uid="{00000000-0006-0000-2800-00000C000000}">
      <text>
        <r>
          <rPr>
            <sz val="11"/>
            <color rgb="FF000000"/>
            <rFont val="Calibri"/>
            <family val="2"/>
          </rPr>
          <t xml:space="preserve">From ALISE:
Part IV, Total lines 61, 62, 63, 64, and 68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kobrien</author>
    <author>Karen O'Brien</author>
  </authors>
  <commentList>
    <comment ref="L12" authorId="0" shapeId="0" xr:uid="{00000000-0006-0000-2900-000001000000}">
      <text>
        <r>
          <rPr>
            <b/>
            <sz val="8"/>
            <color indexed="81"/>
            <rFont val="Tahoma"/>
            <family val="2"/>
          </rPr>
          <t>kobrien:</t>
        </r>
        <r>
          <rPr>
            <sz val="8"/>
            <color indexed="81"/>
            <rFont val="Tahoma"/>
            <family val="2"/>
          </rPr>
          <t xml:space="preserve">
ALISE output cells B39, B41, B44, B46</t>
        </r>
      </text>
    </comment>
    <comment ref="N12" authorId="0" shapeId="0" xr:uid="{00000000-0006-0000-2900-000002000000}">
      <text>
        <r>
          <rPr>
            <b/>
            <sz val="8"/>
            <color indexed="81"/>
            <rFont val="Tahoma"/>
            <family val="2"/>
          </rPr>
          <t>kobrien:</t>
        </r>
        <r>
          <rPr>
            <sz val="8"/>
            <color indexed="81"/>
            <rFont val="Tahoma"/>
            <family val="2"/>
          </rPr>
          <t xml:space="preserve">
Await ALISE output data from rows 384-388, 394-398, 464-468, 474-478</t>
        </r>
      </text>
    </comment>
    <comment ref="O12" authorId="0" shapeId="0" xr:uid="{00000000-0006-0000-2900-000003000000}">
      <text>
        <r>
          <rPr>
            <b/>
            <sz val="8"/>
            <color indexed="81"/>
            <rFont val="Tahoma"/>
            <family val="2"/>
          </rPr>
          <t>ALISE output cell B102= 1 Post-Master's [FTE (Total)]</t>
        </r>
        <r>
          <rPr>
            <sz val="8"/>
            <color indexed="81"/>
            <rFont val="Tahoma"/>
            <family val="2"/>
          </rPr>
          <t xml:space="preserve">
</t>
        </r>
      </text>
    </comment>
    <comment ref="B20" authorId="1" shapeId="0" xr:uid="{00000000-0006-0000-2900-000004000000}">
      <text>
        <r>
          <rPr>
            <b/>
            <sz val="8"/>
            <color indexed="81"/>
            <rFont val="Tahoma"/>
            <family val="2"/>
          </rPr>
          <t>From ALISE:
Part I, Item 2, Fall</t>
        </r>
        <r>
          <rPr>
            <sz val="8"/>
            <color indexed="81"/>
            <rFont val="Tahoma"/>
            <family val="2"/>
          </rPr>
          <t xml:space="preserve">
</t>
        </r>
      </text>
    </comment>
    <comment ref="C20" authorId="1" shapeId="0" xr:uid="{00000000-0006-0000-2900-000005000000}">
      <text>
        <r>
          <rPr>
            <b/>
            <sz val="8"/>
            <color indexed="81"/>
            <rFont val="Tahoma"/>
            <family val="2"/>
          </rPr>
          <t>From ALISE:
Part I, Item 3, Fall</t>
        </r>
        <r>
          <rPr>
            <sz val="8"/>
            <color indexed="81"/>
            <rFont val="Tahoma"/>
            <family val="2"/>
          </rPr>
          <t xml:space="preserve">
</t>
        </r>
      </text>
    </comment>
    <comment ref="I20" authorId="1" shapeId="0" xr:uid="{00000000-0006-0000-2900-000006000000}">
      <text>
        <r>
          <rPr>
            <b/>
            <sz val="8"/>
            <color indexed="81"/>
            <rFont val="Tahoma"/>
            <family val="2"/>
          </rPr>
          <t>From ALISE:
Part II, Table II-1,
Total  Full-time,
ALA only</t>
        </r>
        <r>
          <rPr>
            <sz val="8"/>
            <color indexed="81"/>
            <rFont val="Tahoma"/>
            <family val="2"/>
          </rPr>
          <t xml:space="preserve">
</t>
        </r>
      </text>
    </comment>
    <comment ref="J20" authorId="1" shapeId="0" xr:uid="{00000000-0006-0000-2900-000007000000}">
      <text>
        <r>
          <rPr>
            <b/>
            <sz val="8"/>
            <color indexed="81"/>
            <rFont val="Tahoma"/>
            <family val="2"/>
          </rPr>
          <t>From ALISE:
Part II, Table II-1,
Total No. Part-time,
ALA only</t>
        </r>
        <r>
          <rPr>
            <sz val="8"/>
            <color indexed="81"/>
            <rFont val="Tahoma"/>
            <family val="2"/>
          </rPr>
          <t xml:space="preserve">
</t>
        </r>
      </text>
    </comment>
    <comment ref="L20" authorId="1" shapeId="0" xr:uid="{00000000-0006-0000-2900-000008000000}">
      <text>
        <r>
          <rPr>
            <b/>
            <sz val="8"/>
            <color indexed="81"/>
            <rFont val="Tahoma"/>
            <family val="2"/>
          </rPr>
          <t xml:space="preserve">From ALISE:
Part II, Table II-1,
Total Part-Time FTE, ALA only
</t>
        </r>
        <r>
          <rPr>
            <sz val="8"/>
            <color indexed="81"/>
            <rFont val="Tahoma"/>
            <family val="2"/>
          </rPr>
          <t xml:space="preserve">
</t>
        </r>
      </text>
    </comment>
    <comment ref="N20" authorId="1" shapeId="0" xr:uid="{00000000-0006-0000-2900-000009000000}">
      <text>
        <r>
          <rPr>
            <b/>
            <sz val="8"/>
            <color indexed="81"/>
            <rFont val="Tahoma"/>
            <family val="2"/>
          </rPr>
          <t xml:space="preserve">From ALISE:
Part II, Table 11-4, Total AI, AP, B, and H,
ALA only  </t>
        </r>
        <r>
          <rPr>
            <sz val="8"/>
            <color indexed="81"/>
            <rFont val="Tahoma"/>
            <family val="2"/>
          </rPr>
          <t xml:space="preserve">
</t>
        </r>
      </text>
    </comment>
    <comment ref="O20" authorId="1" shapeId="0" xr:uid="{00000000-0006-0000-2900-00000A000000}">
      <text>
        <r>
          <rPr>
            <b/>
            <sz val="8"/>
            <color indexed="81"/>
            <rFont val="Tahoma"/>
            <family val="2"/>
          </rPr>
          <t>From ALISE:
Part II, Table II-1, Total FTE, all programs</t>
        </r>
        <r>
          <rPr>
            <sz val="8"/>
            <color indexed="81"/>
            <rFont val="Tahoma"/>
            <family val="2"/>
          </rPr>
          <t xml:space="preserve">
</t>
        </r>
      </text>
    </comment>
    <comment ref="Q20" authorId="1" shapeId="0" xr:uid="{00000000-0006-0000-2900-00000B000000}">
      <text>
        <r>
          <rPr>
            <b/>
            <sz val="8"/>
            <color indexed="81"/>
            <rFont val="Tahoma"/>
            <family val="2"/>
          </rPr>
          <t>From ALISE:
Part II, Table II-3, Total, ALA only</t>
        </r>
        <r>
          <rPr>
            <sz val="8"/>
            <color indexed="81"/>
            <rFont val="Tahoma"/>
            <family val="2"/>
          </rPr>
          <t xml:space="preserve">
</t>
        </r>
      </text>
    </comment>
    <comment ref="R20" authorId="1" shapeId="0" xr:uid="{00000000-0006-0000-2900-00000C000000}">
      <text>
        <r>
          <rPr>
            <b/>
            <sz val="8"/>
            <color indexed="81"/>
            <rFont val="Tahoma"/>
            <family val="2"/>
          </rPr>
          <t>From ALISE:
Part II, Table II-3, Total all other programs</t>
        </r>
        <r>
          <rPr>
            <sz val="8"/>
            <color indexed="81"/>
            <rFont val="Tahoma"/>
            <family val="2"/>
          </rPr>
          <t xml:space="preserve">
</t>
        </r>
      </text>
    </comment>
    <comment ref="S20" authorId="1" shapeId="0" xr:uid="{00000000-0006-0000-2900-00000D000000}">
      <text>
        <r>
          <rPr>
            <b/>
            <sz val="8"/>
            <color indexed="81"/>
            <rFont val="Tahoma"/>
            <family val="2"/>
          </rPr>
          <t>From ALISE:
Part IV, Line 59</t>
        </r>
        <r>
          <rPr>
            <sz val="8"/>
            <color indexed="81"/>
            <rFont val="Tahoma"/>
            <family val="2"/>
          </rPr>
          <t xml:space="preserve">
</t>
        </r>
      </text>
    </comment>
    <comment ref="U20" authorId="1" shapeId="0" xr:uid="{00000000-0006-0000-2900-00000E000000}">
      <text>
        <r>
          <rPr>
            <b/>
            <sz val="8"/>
            <color indexed="81"/>
            <rFont val="Tahoma"/>
            <family val="2"/>
          </rPr>
          <t>From ALISE:
Part IV, Line 60</t>
        </r>
        <r>
          <rPr>
            <sz val="8"/>
            <color indexed="81"/>
            <rFont val="Tahoma"/>
            <family val="2"/>
          </rPr>
          <t xml:space="preserve">
</t>
        </r>
      </text>
    </comment>
    <comment ref="V20" authorId="1" shapeId="0" xr:uid="{00000000-0006-0000-2900-00000F000000}">
      <text>
        <r>
          <rPr>
            <b/>
            <sz val="8"/>
            <color indexed="81"/>
            <rFont val="Tahoma"/>
            <family val="2"/>
          </rPr>
          <t>From ALISE:
Part IV, Total lines 61, 62, 63, 64, and 68</t>
        </r>
        <r>
          <rPr>
            <sz val="8"/>
            <color indexed="81"/>
            <rFont val="Tahoma"/>
            <family val="2"/>
          </rPr>
          <t xml:space="preserve">
</t>
        </r>
      </text>
    </comment>
    <comment ref="B22" authorId="1" shapeId="0" xr:uid="{00000000-0006-0000-2900-000010000000}">
      <text>
        <r>
          <rPr>
            <b/>
            <sz val="8"/>
            <color indexed="81"/>
            <rFont val="Tahoma"/>
            <family val="2"/>
          </rPr>
          <t>From ALISE:
Part I, Item 2, Fall</t>
        </r>
        <r>
          <rPr>
            <sz val="8"/>
            <color indexed="81"/>
            <rFont val="Tahoma"/>
            <family val="2"/>
          </rPr>
          <t xml:space="preserve">
</t>
        </r>
      </text>
    </comment>
    <comment ref="C22" authorId="1" shapeId="0" xr:uid="{00000000-0006-0000-2900-000011000000}">
      <text>
        <r>
          <rPr>
            <b/>
            <sz val="8"/>
            <color indexed="81"/>
            <rFont val="Tahoma"/>
            <family val="2"/>
          </rPr>
          <t>From ALISE:
Part I, Item 3, Fall</t>
        </r>
        <r>
          <rPr>
            <sz val="8"/>
            <color indexed="81"/>
            <rFont val="Tahoma"/>
            <family val="2"/>
          </rPr>
          <t xml:space="preserve">
</t>
        </r>
      </text>
    </comment>
    <comment ref="I22" authorId="1" shapeId="0" xr:uid="{00000000-0006-0000-2900-000012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2900-000013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2900-000014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2900-000015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2900-000016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2900-000017000000}">
      <text>
        <r>
          <rPr>
            <b/>
            <sz val="8"/>
            <color indexed="81"/>
            <rFont val="Tahoma"/>
            <family val="2"/>
          </rPr>
          <t>From ALISE:
Part II, Table II-3, Total, ALA only</t>
        </r>
        <r>
          <rPr>
            <sz val="8"/>
            <color indexed="81"/>
            <rFont val="Tahoma"/>
            <family val="2"/>
          </rPr>
          <t xml:space="preserve">
</t>
        </r>
      </text>
    </comment>
    <comment ref="R22" authorId="1" shapeId="0" xr:uid="{00000000-0006-0000-2900-000018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2900-000019000000}">
      <text>
        <r>
          <rPr>
            <b/>
            <sz val="8"/>
            <color indexed="81"/>
            <rFont val="Tahoma"/>
            <family val="2"/>
          </rPr>
          <t>From ALISE:
Part IV, Line 59</t>
        </r>
        <r>
          <rPr>
            <sz val="8"/>
            <color indexed="81"/>
            <rFont val="Tahoma"/>
            <family val="2"/>
          </rPr>
          <t xml:space="preserve">
</t>
        </r>
      </text>
    </comment>
    <comment ref="U22" authorId="1" shapeId="0" xr:uid="{00000000-0006-0000-2900-00001A000000}">
      <text>
        <r>
          <rPr>
            <b/>
            <sz val="8"/>
            <color indexed="81"/>
            <rFont val="Tahoma"/>
            <family val="2"/>
          </rPr>
          <t>From ALISE:
Part IV, Line 60</t>
        </r>
        <r>
          <rPr>
            <sz val="8"/>
            <color indexed="81"/>
            <rFont val="Tahoma"/>
            <family val="2"/>
          </rPr>
          <t xml:space="preserve">
</t>
        </r>
      </text>
    </comment>
    <comment ref="V22" authorId="1" shapeId="0" xr:uid="{00000000-0006-0000-2900-00001B000000}">
      <text>
        <r>
          <rPr>
            <b/>
            <sz val="8"/>
            <color indexed="81"/>
            <rFont val="Tahoma"/>
            <family val="2"/>
          </rPr>
          <t>From ALISE:
Part IV, Total lines 61, 62, 63, 64, and 68</t>
        </r>
        <r>
          <rPr>
            <sz val="8"/>
            <color indexed="81"/>
            <rFont val="Tahoma"/>
            <family val="2"/>
          </rPr>
          <t xml:space="preserve">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2B00-000001000000}">
      <text>
        <r>
          <rPr>
            <b/>
            <sz val="8"/>
            <color indexed="81"/>
            <rFont val="Tahoma"/>
            <family val="2"/>
          </rPr>
          <t>From ALISE:
Part I, Item 2, Fall</t>
        </r>
        <r>
          <rPr>
            <sz val="8"/>
            <color indexed="81"/>
            <rFont val="Tahoma"/>
            <family val="2"/>
          </rPr>
          <t xml:space="preserve">
</t>
        </r>
      </text>
    </comment>
    <comment ref="C20" authorId="0" shapeId="0" xr:uid="{00000000-0006-0000-2B00-000002000000}">
      <text>
        <r>
          <rPr>
            <b/>
            <sz val="8"/>
            <color indexed="81"/>
            <rFont val="Tahoma"/>
            <family val="2"/>
          </rPr>
          <t>From ALISE:
Part I, Item 3, Fall</t>
        </r>
        <r>
          <rPr>
            <sz val="8"/>
            <color indexed="81"/>
            <rFont val="Tahoma"/>
            <family val="2"/>
          </rPr>
          <t xml:space="preserve">
</t>
        </r>
      </text>
    </comment>
    <comment ref="I20" authorId="0" shapeId="0" xr:uid="{00000000-0006-0000-2B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2B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2B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2B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2B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2B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2B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2B00-00000A000000}">
      <text>
        <r>
          <rPr>
            <b/>
            <sz val="8"/>
            <color indexed="81"/>
            <rFont val="Tahoma"/>
            <family val="2"/>
          </rPr>
          <t>From ALISE:
Part IV, Line 59</t>
        </r>
        <r>
          <rPr>
            <sz val="8"/>
            <color indexed="81"/>
            <rFont val="Tahoma"/>
            <family val="2"/>
          </rPr>
          <t xml:space="preserve">
</t>
        </r>
      </text>
    </comment>
    <comment ref="U20" authorId="0" shapeId="0" xr:uid="{00000000-0006-0000-2B00-00000B000000}">
      <text>
        <r>
          <rPr>
            <b/>
            <sz val="8"/>
            <color indexed="81"/>
            <rFont val="Tahoma"/>
            <family val="2"/>
          </rPr>
          <t>From ALISE:
Part IV, Line 60</t>
        </r>
        <r>
          <rPr>
            <sz val="8"/>
            <color indexed="81"/>
            <rFont val="Tahoma"/>
            <family val="2"/>
          </rPr>
          <t xml:space="preserve">
</t>
        </r>
      </text>
    </comment>
    <comment ref="V20" authorId="0" shapeId="0" xr:uid="{00000000-0006-0000-2B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2B00-00000D000000}">
      <text>
        <r>
          <rPr>
            <b/>
            <sz val="8"/>
            <color indexed="81"/>
            <rFont val="Tahoma"/>
            <family val="2"/>
          </rPr>
          <t>From ALISE:
Part I, Item 2, Fall</t>
        </r>
        <r>
          <rPr>
            <sz val="8"/>
            <color indexed="81"/>
            <rFont val="Tahoma"/>
            <family val="2"/>
          </rPr>
          <t xml:space="preserve">
</t>
        </r>
      </text>
    </comment>
    <comment ref="C22" authorId="0" shapeId="0" xr:uid="{00000000-0006-0000-2B00-00000E000000}">
      <text>
        <r>
          <rPr>
            <b/>
            <sz val="8"/>
            <color indexed="81"/>
            <rFont val="Tahoma"/>
            <family val="2"/>
          </rPr>
          <t>From ALISE:
Part I, Item 3, Fall</t>
        </r>
        <r>
          <rPr>
            <sz val="8"/>
            <color indexed="81"/>
            <rFont val="Tahoma"/>
            <family val="2"/>
          </rPr>
          <t xml:space="preserve">
</t>
        </r>
      </text>
    </comment>
    <comment ref="I22" authorId="0" shapeId="0" xr:uid="{00000000-0006-0000-2B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B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B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B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B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B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2B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B00-000016000000}">
      <text>
        <r>
          <rPr>
            <b/>
            <sz val="8"/>
            <color indexed="81"/>
            <rFont val="Tahoma"/>
            <family val="2"/>
          </rPr>
          <t>From ALISE:
Part IV, Line 59</t>
        </r>
        <r>
          <rPr>
            <sz val="8"/>
            <color indexed="81"/>
            <rFont val="Tahoma"/>
            <family val="2"/>
          </rPr>
          <t xml:space="preserve">
</t>
        </r>
      </text>
    </comment>
    <comment ref="U22" authorId="0" shapeId="0" xr:uid="{00000000-0006-0000-2B00-000017000000}">
      <text>
        <r>
          <rPr>
            <b/>
            <sz val="8"/>
            <color indexed="81"/>
            <rFont val="Tahoma"/>
            <family val="2"/>
          </rPr>
          <t>From ALISE:
Part IV, Line 60</t>
        </r>
        <r>
          <rPr>
            <sz val="8"/>
            <color indexed="81"/>
            <rFont val="Tahoma"/>
            <family val="2"/>
          </rPr>
          <t xml:space="preserve">
</t>
        </r>
      </text>
    </comment>
    <comment ref="V22" authorId="0" shapeId="0" xr:uid="{00000000-0006-0000-2B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2C00-000001000000}">
      <text>
        <r>
          <rPr>
            <b/>
            <sz val="8"/>
            <color indexed="81"/>
            <rFont val="Tahoma"/>
            <family val="2"/>
          </rPr>
          <t>From ALISE:
Part I, Item 2, Fall</t>
        </r>
        <r>
          <rPr>
            <sz val="8"/>
            <color indexed="81"/>
            <rFont val="Tahoma"/>
            <family val="2"/>
          </rPr>
          <t xml:space="preserve">
</t>
        </r>
      </text>
    </comment>
    <comment ref="C20" authorId="0" shapeId="0" xr:uid="{00000000-0006-0000-2C00-000002000000}">
      <text>
        <r>
          <rPr>
            <b/>
            <sz val="8"/>
            <color indexed="81"/>
            <rFont val="Tahoma"/>
            <family val="2"/>
          </rPr>
          <t>From ALISE:
Part I, Item 3, Fall</t>
        </r>
        <r>
          <rPr>
            <sz val="8"/>
            <color indexed="81"/>
            <rFont val="Tahoma"/>
            <family val="2"/>
          </rPr>
          <t xml:space="preserve">
</t>
        </r>
      </text>
    </comment>
    <comment ref="I20" authorId="0" shapeId="0" xr:uid="{00000000-0006-0000-2C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2C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2C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2C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2C00-000007000000}">
      <text>
        <r>
          <rPr>
            <b/>
            <sz val="8"/>
            <color rgb="FF000000"/>
            <rFont val="Tahoma"/>
            <family val="2"/>
          </rPr>
          <t xml:space="preserve">From ALISE:
</t>
        </r>
        <r>
          <rPr>
            <b/>
            <sz val="8"/>
            <color rgb="FF000000"/>
            <rFont val="Tahoma"/>
            <family val="2"/>
          </rPr>
          <t>Part II, Table II-1, Total FTE, all programs</t>
        </r>
        <r>
          <rPr>
            <sz val="8"/>
            <color rgb="FF000000"/>
            <rFont val="Tahoma"/>
            <family val="2"/>
          </rPr>
          <t xml:space="preserve">
</t>
        </r>
      </text>
    </comment>
    <comment ref="Q20" authorId="0" shapeId="0" xr:uid="{00000000-0006-0000-2C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2C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2C00-00000A000000}">
      <text>
        <r>
          <rPr>
            <b/>
            <sz val="8"/>
            <color indexed="81"/>
            <rFont val="Tahoma"/>
            <family val="2"/>
          </rPr>
          <t>From ALISE:
Part IV, Line 59</t>
        </r>
        <r>
          <rPr>
            <sz val="8"/>
            <color indexed="81"/>
            <rFont val="Tahoma"/>
            <family val="2"/>
          </rPr>
          <t xml:space="preserve">
</t>
        </r>
      </text>
    </comment>
    <comment ref="U20" authorId="0" shapeId="0" xr:uid="{00000000-0006-0000-2C00-00000B000000}">
      <text>
        <r>
          <rPr>
            <b/>
            <sz val="8"/>
            <color indexed="81"/>
            <rFont val="Tahoma"/>
            <family val="2"/>
          </rPr>
          <t>From ALISE:
Part IV, Line 60</t>
        </r>
        <r>
          <rPr>
            <sz val="8"/>
            <color indexed="81"/>
            <rFont val="Tahoma"/>
            <family val="2"/>
          </rPr>
          <t xml:space="preserve">
</t>
        </r>
      </text>
    </comment>
    <comment ref="V20" authorId="0" shapeId="0" xr:uid="{00000000-0006-0000-2C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2C00-00000D000000}">
      <text>
        <r>
          <rPr>
            <b/>
            <sz val="8"/>
            <color indexed="81"/>
            <rFont val="Tahoma"/>
            <family val="2"/>
          </rPr>
          <t>From ALISE:
Part I, Item 2, Fall</t>
        </r>
        <r>
          <rPr>
            <sz val="8"/>
            <color indexed="81"/>
            <rFont val="Tahoma"/>
            <family val="2"/>
          </rPr>
          <t xml:space="preserve">
</t>
        </r>
      </text>
    </comment>
    <comment ref="C22" authorId="0" shapeId="0" xr:uid="{00000000-0006-0000-2C00-00000E000000}">
      <text>
        <r>
          <rPr>
            <b/>
            <sz val="8"/>
            <color indexed="81"/>
            <rFont val="Tahoma"/>
            <family val="2"/>
          </rPr>
          <t>From ALISE:
Part I, Item 3, Fall</t>
        </r>
        <r>
          <rPr>
            <sz val="8"/>
            <color indexed="81"/>
            <rFont val="Tahoma"/>
            <family val="2"/>
          </rPr>
          <t xml:space="preserve">
</t>
        </r>
      </text>
    </comment>
    <comment ref="I22" authorId="0" shapeId="0" xr:uid="{00000000-0006-0000-2C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C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C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C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C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C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2C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C00-000016000000}">
      <text>
        <r>
          <rPr>
            <b/>
            <sz val="8"/>
            <color indexed="81"/>
            <rFont val="Tahoma"/>
            <family val="2"/>
          </rPr>
          <t>From ALISE:
Part IV, Line 59</t>
        </r>
        <r>
          <rPr>
            <sz val="8"/>
            <color indexed="81"/>
            <rFont val="Tahoma"/>
            <family val="2"/>
          </rPr>
          <t xml:space="preserve">
</t>
        </r>
      </text>
    </comment>
    <comment ref="U22" authorId="0" shapeId="0" xr:uid="{00000000-0006-0000-2C00-000017000000}">
      <text>
        <r>
          <rPr>
            <b/>
            <sz val="8"/>
            <color indexed="81"/>
            <rFont val="Tahoma"/>
            <family val="2"/>
          </rPr>
          <t>From ALISE:
Part IV, Line 60</t>
        </r>
        <r>
          <rPr>
            <sz val="8"/>
            <color indexed="81"/>
            <rFont val="Tahoma"/>
            <family val="2"/>
          </rPr>
          <t xml:space="preserve">
</t>
        </r>
      </text>
    </comment>
    <comment ref="V22" authorId="0" shapeId="0" xr:uid="{00000000-0006-0000-2C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2" authorId="0" shapeId="0" xr:uid="{00000000-0006-0000-2D00-000001000000}">
      <text>
        <r>
          <rPr>
            <b/>
            <sz val="8"/>
            <color indexed="81"/>
            <rFont val="Tahoma"/>
            <family val="2"/>
          </rPr>
          <t>From ALISE:
Part I, Item 2, Fall</t>
        </r>
        <r>
          <rPr>
            <sz val="8"/>
            <color indexed="81"/>
            <rFont val="Tahoma"/>
            <family val="2"/>
          </rPr>
          <t xml:space="preserve">
</t>
        </r>
      </text>
    </comment>
    <comment ref="C22" authorId="0" shapeId="0" xr:uid="{00000000-0006-0000-2D00-000002000000}">
      <text>
        <r>
          <rPr>
            <b/>
            <sz val="8"/>
            <color indexed="81"/>
            <rFont val="Tahoma"/>
            <family val="2"/>
          </rPr>
          <t>From ALISE:
Part I, Item 3, Fall</t>
        </r>
        <r>
          <rPr>
            <sz val="8"/>
            <color indexed="81"/>
            <rFont val="Tahoma"/>
            <family val="2"/>
          </rPr>
          <t xml:space="preserve">
</t>
        </r>
      </text>
    </comment>
    <comment ref="I22" authorId="0" shapeId="0" xr:uid="{00000000-0006-0000-2D00-000003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D00-000004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D00-000005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D00-000006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D00-000007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D00-000008000000}">
      <text>
        <r>
          <rPr>
            <b/>
            <sz val="8"/>
            <color indexed="81"/>
            <rFont val="Tahoma"/>
            <family val="2"/>
          </rPr>
          <t>From ALISE:
Part II, Table II-3, Total, ALA only</t>
        </r>
        <r>
          <rPr>
            <sz val="8"/>
            <color indexed="81"/>
            <rFont val="Tahoma"/>
            <family val="2"/>
          </rPr>
          <t xml:space="preserve">
</t>
        </r>
      </text>
    </comment>
    <comment ref="R22" authorId="0" shapeId="0" xr:uid="{00000000-0006-0000-2D00-000009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D00-00000A000000}">
      <text>
        <r>
          <rPr>
            <b/>
            <sz val="8"/>
            <color indexed="81"/>
            <rFont val="Tahoma"/>
            <family val="2"/>
          </rPr>
          <t>From ALISE:
Part IV, Line 59</t>
        </r>
        <r>
          <rPr>
            <sz val="8"/>
            <color indexed="81"/>
            <rFont val="Tahoma"/>
            <family val="2"/>
          </rPr>
          <t xml:space="preserve">
</t>
        </r>
      </text>
    </comment>
    <comment ref="U22" authorId="0" shapeId="0" xr:uid="{00000000-0006-0000-2D00-00000B000000}">
      <text>
        <r>
          <rPr>
            <b/>
            <sz val="8"/>
            <color indexed="81"/>
            <rFont val="Tahoma"/>
            <family val="2"/>
          </rPr>
          <t>From ALISE:
Part IV, Line 60</t>
        </r>
        <r>
          <rPr>
            <sz val="8"/>
            <color indexed="81"/>
            <rFont val="Tahoma"/>
            <family val="2"/>
          </rPr>
          <t xml:space="preserve">
</t>
        </r>
      </text>
    </comment>
    <comment ref="V22" authorId="0" shapeId="0" xr:uid="{00000000-0006-0000-2D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2E00-000001000000}">
      <text>
        <r>
          <rPr>
            <b/>
            <sz val="8"/>
            <color indexed="81"/>
            <rFont val="Tahoma"/>
            <family val="2"/>
          </rPr>
          <t>From ALISE:
Part I, Item 2, Fall</t>
        </r>
        <r>
          <rPr>
            <sz val="8"/>
            <color indexed="81"/>
            <rFont val="Tahoma"/>
            <family val="2"/>
          </rPr>
          <t xml:space="preserve">
</t>
        </r>
      </text>
    </comment>
    <comment ref="C20" authorId="0" shapeId="0" xr:uid="{00000000-0006-0000-2E00-000002000000}">
      <text>
        <r>
          <rPr>
            <b/>
            <sz val="8"/>
            <color indexed="81"/>
            <rFont val="Tahoma"/>
            <family val="2"/>
          </rPr>
          <t>From ALISE:
Part I, Item 3, Fall</t>
        </r>
        <r>
          <rPr>
            <sz val="8"/>
            <color indexed="81"/>
            <rFont val="Tahoma"/>
            <family val="2"/>
          </rPr>
          <t xml:space="preserve">
</t>
        </r>
      </text>
    </comment>
    <comment ref="I20" authorId="0" shapeId="0" xr:uid="{00000000-0006-0000-2E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2E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2E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2E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2E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2E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2E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2E00-00000A000000}">
      <text>
        <r>
          <rPr>
            <b/>
            <sz val="8"/>
            <color indexed="81"/>
            <rFont val="Tahoma"/>
            <family val="2"/>
          </rPr>
          <t>From ALISE:
Part IV, Line 59</t>
        </r>
        <r>
          <rPr>
            <sz val="8"/>
            <color indexed="81"/>
            <rFont val="Tahoma"/>
            <family val="2"/>
          </rPr>
          <t xml:space="preserve">
</t>
        </r>
      </text>
    </comment>
    <comment ref="U20" authorId="0" shapeId="0" xr:uid="{00000000-0006-0000-2E00-00000B000000}">
      <text>
        <r>
          <rPr>
            <b/>
            <sz val="8"/>
            <color indexed="81"/>
            <rFont val="Tahoma"/>
            <family val="2"/>
          </rPr>
          <t>From ALISE:
Part IV, Line 60</t>
        </r>
        <r>
          <rPr>
            <sz val="8"/>
            <color indexed="81"/>
            <rFont val="Tahoma"/>
            <family val="2"/>
          </rPr>
          <t xml:space="preserve">
</t>
        </r>
      </text>
    </comment>
    <comment ref="V20" authorId="0" shapeId="0" xr:uid="{00000000-0006-0000-2E00-00000C000000}">
      <text>
        <r>
          <rPr>
            <b/>
            <sz val="8"/>
            <color indexed="81"/>
            <rFont val="Tahoma"/>
            <family val="2"/>
          </rPr>
          <t>From ALISE:
Part IV, Total lines 61, 62, 63, 64, and 68</t>
        </r>
        <r>
          <rPr>
            <sz val="8"/>
            <color indexed="81"/>
            <rFont val="Tahoma"/>
            <family val="2"/>
          </rPr>
          <t xml:space="preserve">
</t>
        </r>
      </text>
    </comment>
    <comment ref="B21" authorId="0" shapeId="0" xr:uid="{00000000-0006-0000-2E00-00000D000000}">
      <text>
        <r>
          <rPr>
            <b/>
            <sz val="8"/>
            <color indexed="81"/>
            <rFont val="Tahoma"/>
            <family val="2"/>
          </rPr>
          <t>From ALISE:
Part I, Item 2, Fall</t>
        </r>
        <r>
          <rPr>
            <sz val="8"/>
            <color indexed="81"/>
            <rFont val="Tahoma"/>
            <family val="2"/>
          </rPr>
          <t xml:space="preserve">
</t>
        </r>
      </text>
    </comment>
    <comment ref="C21" authorId="0" shapeId="0" xr:uid="{00000000-0006-0000-2E00-00000E000000}">
      <text>
        <r>
          <rPr>
            <b/>
            <sz val="8"/>
            <color indexed="81"/>
            <rFont val="Tahoma"/>
            <family val="2"/>
          </rPr>
          <t>From ALISE:
Part I, Item 3, Fall</t>
        </r>
        <r>
          <rPr>
            <sz val="8"/>
            <color indexed="81"/>
            <rFont val="Tahoma"/>
            <family val="2"/>
          </rPr>
          <t xml:space="preserve">
</t>
        </r>
      </text>
    </comment>
    <comment ref="I21" authorId="0" shapeId="0" xr:uid="{00000000-0006-0000-2E00-00000F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2E00-000010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2E00-000011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2E00-000012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2E00-000013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2E00-000014000000}">
      <text>
        <r>
          <rPr>
            <b/>
            <sz val="8"/>
            <color indexed="81"/>
            <rFont val="Tahoma"/>
            <family val="2"/>
          </rPr>
          <t>From ALISE:
Part II, Table II-3, Total, ALA only</t>
        </r>
        <r>
          <rPr>
            <sz val="8"/>
            <color indexed="81"/>
            <rFont val="Tahoma"/>
            <family val="2"/>
          </rPr>
          <t xml:space="preserve">
</t>
        </r>
      </text>
    </comment>
    <comment ref="R21" authorId="0" shapeId="0" xr:uid="{00000000-0006-0000-2E00-000015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2E00-000016000000}">
      <text>
        <r>
          <rPr>
            <b/>
            <sz val="8"/>
            <color indexed="81"/>
            <rFont val="Tahoma"/>
            <family val="2"/>
          </rPr>
          <t>From ALISE:
Part IV, Line 59</t>
        </r>
        <r>
          <rPr>
            <sz val="8"/>
            <color indexed="81"/>
            <rFont val="Tahoma"/>
            <family val="2"/>
          </rPr>
          <t xml:space="preserve">
</t>
        </r>
      </text>
    </comment>
    <comment ref="U21" authorId="0" shapeId="0" xr:uid="{00000000-0006-0000-2E00-000017000000}">
      <text>
        <r>
          <rPr>
            <b/>
            <sz val="8"/>
            <color indexed="81"/>
            <rFont val="Tahoma"/>
            <family val="2"/>
          </rPr>
          <t>From ALISE:
Part IV, Line 60</t>
        </r>
        <r>
          <rPr>
            <sz val="8"/>
            <color indexed="81"/>
            <rFont val="Tahoma"/>
            <family val="2"/>
          </rPr>
          <t xml:space="preserve">
</t>
        </r>
      </text>
    </comment>
    <comment ref="V21" authorId="0" shapeId="0" xr:uid="{00000000-0006-0000-2E00-000018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2E00-000019000000}">
      <text>
        <r>
          <rPr>
            <b/>
            <sz val="8"/>
            <color indexed="81"/>
            <rFont val="Tahoma"/>
            <family val="2"/>
          </rPr>
          <t>From ALISE:
Part I, Item 2, Fall</t>
        </r>
        <r>
          <rPr>
            <sz val="8"/>
            <color indexed="81"/>
            <rFont val="Tahoma"/>
            <family val="2"/>
          </rPr>
          <t xml:space="preserve">
</t>
        </r>
      </text>
    </comment>
    <comment ref="C22" authorId="0" shapeId="0" xr:uid="{00000000-0006-0000-2E00-00001A000000}">
      <text>
        <r>
          <rPr>
            <b/>
            <sz val="8"/>
            <color indexed="81"/>
            <rFont val="Tahoma"/>
            <family val="2"/>
          </rPr>
          <t>From ALISE:
Part I, Item 3, Fall</t>
        </r>
        <r>
          <rPr>
            <sz val="8"/>
            <color indexed="81"/>
            <rFont val="Tahoma"/>
            <family val="2"/>
          </rPr>
          <t xml:space="preserve">
</t>
        </r>
      </text>
    </comment>
    <comment ref="I22" authorId="0" shapeId="0" xr:uid="{00000000-0006-0000-2E00-00001B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2E00-00001C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2E00-00001D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2E00-00001E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2E00-00001F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2E00-000020000000}">
      <text>
        <r>
          <rPr>
            <b/>
            <sz val="8"/>
            <color indexed="81"/>
            <rFont val="Tahoma"/>
            <family val="2"/>
          </rPr>
          <t>From ALISE:
Part II, Table II-3, Total, ALA only</t>
        </r>
        <r>
          <rPr>
            <sz val="8"/>
            <color indexed="81"/>
            <rFont val="Tahoma"/>
            <family val="2"/>
          </rPr>
          <t xml:space="preserve">
</t>
        </r>
      </text>
    </comment>
    <comment ref="R22" authorId="0" shapeId="0" xr:uid="{00000000-0006-0000-2E00-000021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2E00-000022000000}">
      <text>
        <r>
          <rPr>
            <b/>
            <sz val="8"/>
            <color indexed="81"/>
            <rFont val="Tahoma"/>
            <family val="2"/>
          </rPr>
          <t>From ALISE:
Part IV, Line 59</t>
        </r>
        <r>
          <rPr>
            <sz val="8"/>
            <color indexed="81"/>
            <rFont val="Tahoma"/>
            <family val="2"/>
          </rPr>
          <t xml:space="preserve">
</t>
        </r>
      </text>
    </comment>
    <comment ref="U22" authorId="0" shapeId="0" xr:uid="{00000000-0006-0000-2E00-000023000000}">
      <text>
        <r>
          <rPr>
            <b/>
            <sz val="8"/>
            <color indexed="81"/>
            <rFont val="Tahoma"/>
            <family val="2"/>
          </rPr>
          <t>From ALISE:
Part IV, Line 60</t>
        </r>
        <r>
          <rPr>
            <sz val="8"/>
            <color indexed="81"/>
            <rFont val="Tahoma"/>
            <family val="2"/>
          </rPr>
          <t xml:space="preserve">
</t>
        </r>
      </text>
    </comment>
    <comment ref="V22" authorId="0" shapeId="0" xr:uid="{00000000-0006-0000-2E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tc={0DF3DA48-4444-4E8C-A6BA-233A627C7E00}</author>
    <author>Karen O'Brien</author>
  </authors>
  <commentList>
    <comment ref="R5" authorId="0" shapeId="0" xr:uid="{0DF3DA48-4444-4E8C-A6BA-233A627C7E00}">
      <text>
        <t>[Threaded comment]
Your version of Excel allows you to read this threaded comment; however, any edits to it will get removed if the file is opened in a newer version of Excel. Learn more: https://go.microsoft.com/fwlink/?linkid=870924
Comment:
    2019: Column O - This number is lower because the Health Sciences undergraduate program moved to the College of Public Health.</t>
      </text>
    </comment>
    <comment ref="B20" authorId="1" shapeId="0" xr:uid="{00000000-0006-0000-2F00-000001000000}">
      <text>
        <r>
          <rPr>
            <b/>
            <sz val="8"/>
            <color indexed="81"/>
            <rFont val="Tahoma"/>
            <family val="2"/>
          </rPr>
          <t>From ALISE:
Part I, Item 2, Fall</t>
        </r>
        <r>
          <rPr>
            <sz val="8"/>
            <color indexed="81"/>
            <rFont val="Tahoma"/>
            <family val="2"/>
          </rPr>
          <t xml:space="preserve">
</t>
        </r>
      </text>
    </comment>
    <comment ref="C20" authorId="1" shapeId="0" xr:uid="{00000000-0006-0000-2F00-000002000000}">
      <text>
        <r>
          <rPr>
            <b/>
            <sz val="8"/>
            <color indexed="81"/>
            <rFont val="Tahoma"/>
            <family val="2"/>
          </rPr>
          <t>From ALISE:
Part I, Item 3, Fall</t>
        </r>
        <r>
          <rPr>
            <sz val="8"/>
            <color indexed="81"/>
            <rFont val="Tahoma"/>
            <family val="2"/>
          </rPr>
          <t xml:space="preserve">
</t>
        </r>
      </text>
    </comment>
    <comment ref="I20" authorId="1" shapeId="0" xr:uid="{00000000-0006-0000-2F00-000003000000}">
      <text>
        <r>
          <rPr>
            <b/>
            <sz val="8"/>
            <color indexed="81"/>
            <rFont val="Tahoma"/>
            <family val="2"/>
          </rPr>
          <t>From ALISE:
Part II, Table II-1,
Total  Full-time,
ALA only</t>
        </r>
        <r>
          <rPr>
            <sz val="8"/>
            <color indexed="81"/>
            <rFont val="Tahoma"/>
            <family val="2"/>
          </rPr>
          <t xml:space="preserve">
</t>
        </r>
      </text>
    </comment>
    <comment ref="J20" authorId="1" shapeId="0" xr:uid="{00000000-0006-0000-2F00-000004000000}">
      <text>
        <r>
          <rPr>
            <b/>
            <sz val="8"/>
            <color indexed="81"/>
            <rFont val="Tahoma"/>
            <family val="2"/>
          </rPr>
          <t>From ALISE:
Part II, Table II-1,
Total No. Part-time,
ALA only</t>
        </r>
        <r>
          <rPr>
            <sz val="8"/>
            <color indexed="81"/>
            <rFont val="Tahoma"/>
            <family val="2"/>
          </rPr>
          <t xml:space="preserve">
</t>
        </r>
      </text>
    </comment>
    <comment ref="L20" authorId="1" shapeId="0" xr:uid="{00000000-0006-0000-2F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1" shapeId="0" xr:uid="{00000000-0006-0000-2F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1" shapeId="0" xr:uid="{00000000-0006-0000-2F00-000007000000}">
      <text>
        <r>
          <rPr>
            <b/>
            <sz val="8"/>
            <color indexed="81"/>
            <rFont val="Tahoma"/>
            <family val="2"/>
          </rPr>
          <t>From ALISE:
Part II, Table II-1, Total FTE, all programs</t>
        </r>
        <r>
          <rPr>
            <sz val="8"/>
            <color indexed="81"/>
            <rFont val="Tahoma"/>
            <family val="2"/>
          </rPr>
          <t xml:space="preserve">
</t>
        </r>
      </text>
    </comment>
    <comment ref="Q20" authorId="1" shapeId="0" xr:uid="{00000000-0006-0000-2F00-000008000000}">
      <text>
        <r>
          <rPr>
            <b/>
            <sz val="8"/>
            <color indexed="81"/>
            <rFont val="Tahoma"/>
            <family val="2"/>
          </rPr>
          <t>From ALISE:
Part II, Table II-3, Total, ALA only</t>
        </r>
        <r>
          <rPr>
            <sz val="8"/>
            <color indexed="81"/>
            <rFont val="Tahoma"/>
            <family val="2"/>
          </rPr>
          <t xml:space="preserve">
</t>
        </r>
      </text>
    </comment>
    <comment ref="R20" authorId="1" shapeId="0" xr:uid="{00000000-0006-0000-2F00-000009000000}">
      <text>
        <r>
          <rPr>
            <b/>
            <sz val="8"/>
            <color indexed="81"/>
            <rFont val="Tahoma"/>
            <family val="2"/>
          </rPr>
          <t>From ALISE:
Part II, Table II-3, Total all other programs</t>
        </r>
        <r>
          <rPr>
            <sz val="8"/>
            <color indexed="81"/>
            <rFont val="Tahoma"/>
            <family val="2"/>
          </rPr>
          <t xml:space="preserve">
</t>
        </r>
      </text>
    </comment>
    <comment ref="S20" authorId="1" shapeId="0" xr:uid="{00000000-0006-0000-2F00-00000A000000}">
      <text>
        <r>
          <rPr>
            <b/>
            <sz val="8"/>
            <color indexed="81"/>
            <rFont val="Tahoma"/>
            <family val="2"/>
          </rPr>
          <t>From ALISE:
Part IV, Line 59</t>
        </r>
        <r>
          <rPr>
            <sz val="8"/>
            <color indexed="81"/>
            <rFont val="Tahoma"/>
            <family val="2"/>
          </rPr>
          <t xml:space="preserve">
</t>
        </r>
      </text>
    </comment>
    <comment ref="U20" authorId="1" shapeId="0" xr:uid="{00000000-0006-0000-2F00-00000B000000}">
      <text>
        <r>
          <rPr>
            <b/>
            <sz val="8"/>
            <color indexed="81"/>
            <rFont val="Tahoma"/>
            <family val="2"/>
          </rPr>
          <t>From ALISE:
Part IV, Line 60</t>
        </r>
        <r>
          <rPr>
            <sz val="8"/>
            <color indexed="81"/>
            <rFont val="Tahoma"/>
            <family val="2"/>
          </rPr>
          <t xml:space="preserve">
</t>
        </r>
      </text>
    </comment>
    <comment ref="V20" authorId="1" shapeId="0" xr:uid="{00000000-0006-0000-2F00-00000C000000}">
      <text>
        <r>
          <rPr>
            <b/>
            <sz val="8"/>
            <color indexed="81"/>
            <rFont val="Tahoma"/>
            <family val="2"/>
          </rPr>
          <t>From ALISE:
Part IV, Total lines 61, 62, 63, 64, and 68</t>
        </r>
        <r>
          <rPr>
            <sz val="8"/>
            <color indexed="81"/>
            <rFont val="Tahoma"/>
            <family val="2"/>
          </rPr>
          <t xml:space="preserve">
</t>
        </r>
      </text>
    </comment>
    <comment ref="B21" authorId="1" shapeId="0" xr:uid="{00000000-0006-0000-2F00-00000D000000}">
      <text>
        <r>
          <rPr>
            <b/>
            <sz val="8"/>
            <color indexed="81"/>
            <rFont val="Tahoma"/>
            <family val="2"/>
          </rPr>
          <t>From ALISE:
Part I, Item 2, Fall</t>
        </r>
        <r>
          <rPr>
            <sz val="8"/>
            <color indexed="81"/>
            <rFont val="Tahoma"/>
            <family val="2"/>
          </rPr>
          <t xml:space="preserve">
</t>
        </r>
      </text>
    </comment>
    <comment ref="C21" authorId="1" shapeId="0" xr:uid="{00000000-0006-0000-2F00-00000E000000}">
      <text>
        <r>
          <rPr>
            <b/>
            <sz val="8"/>
            <color indexed="81"/>
            <rFont val="Tahoma"/>
            <family val="2"/>
          </rPr>
          <t>From ALISE:
Part I, Item 3, Fall</t>
        </r>
        <r>
          <rPr>
            <sz val="8"/>
            <color indexed="81"/>
            <rFont val="Tahoma"/>
            <family val="2"/>
          </rPr>
          <t xml:space="preserve">
</t>
        </r>
      </text>
    </comment>
    <comment ref="I21" authorId="1" shapeId="0" xr:uid="{00000000-0006-0000-2F00-00000F000000}">
      <text>
        <r>
          <rPr>
            <b/>
            <sz val="8"/>
            <color indexed="81"/>
            <rFont val="Tahoma"/>
            <family val="2"/>
          </rPr>
          <t>From ALISE:
Part II, Table II-1,
Total  Full-time,
ALA only</t>
        </r>
        <r>
          <rPr>
            <sz val="8"/>
            <color indexed="81"/>
            <rFont val="Tahoma"/>
            <family val="2"/>
          </rPr>
          <t xml:space="preserve">
</t>
        </r>
      </text>
    </comment>
    <comment ref="J21" authorId="1" shapeId="0" xr:uid="{00000000-0006-0000-2F00-000010000000}">
      <text>
        <r>
          <rPr>
            <b/>
            <sz val="8"/>
            <color indexed="81"/>
            <rFont val="Tahoma"/>
            <family val="2"/>
          </rPr>
          <t>From ALISE:
Part II, Table II-1,
Total No. Part-time,
ALA only</t>
        </r>
        <r>
          <rPr>
            <sz val="8"/>
            <color indexed="81"/>
            <rFont val="Tahoma"/>
            <family val="2"/>
          </rPr>
          <t xml:space="preserve">
</t>
        </r>
      </text>
    </comment>
    <comment ref="L21" authorId="1" shapeId="0" xr:uid="{00000000-0006-0000-2F00-000011000000}">
      <text>
        <r>
          <rPr>
            <b/>
            <sz val="8"/>
            <color indexed="81"/>
            <rFont val="Tahoma"/>
            <family val="2"/>
          </rPr>
          <t xml:space="preserve">From ALISE:
Part II, Table II-1,
Total Part-Time FTE, ALA only
</t>
        </r>
        <r>
          <rPr>
            <sz val="8"/>
            <color indexed="81"/>
            <rFont val="Tahoma"/>
            <family val="2"/>
          </rPr>
          <t xml:space="preserve">
</t>
        </r>
      </text>
    </comment>
    <comment ref="N21" authorId="1" shapeId="0" xr:uid="{00000000-0006-0000-2F00-000012000000}">
      <text>
        <r>
          <rPr>
            <b/>
            <sz val="8"/>
            <color indexed="81"/>
            <rFont val="Tahoma"/>
            <family val="2"/>
          </rPr>
          <t xml:space="preserve">From ALISE:
Part II, Table 11-4, Total AI, AP, B, and H,
ALA only  </t>
        </r>
        <r>
          <rPr>
            <sz val="8"/>
            <color indexed="81"/>
            <rFont val="Tahoma"/>
            <family val="2"/>
          </rPr>
          <t xml:space="preserve">
</t>
        </r>
      </text>
    </comment>
    <comment ref="O21" authorId="1" shapeId="0" xr:uid="{00000000-0006-0000-2F00-000013000000}">
      <text>
        <r>
          <rPr>
            <b/>
            <sz val="8"/>
            <color indexed="81"/>
            <rFont val="Tahoma"/>
            <family val="2"/>
          </rPr>
          <t>From ALISE:
Part II, Table II-1, Total FTE, all programs</t>
        </r>
        <r>
          <rPr>
            <sz val="8"/>
            <color indexed="81"/>
            <rFont val="Tahoma"/>
            <family val="2"/>
          </rPr>
          <t xml:space="preserve">
</t>
        </r>
      </text>
    </comment>
    <comment ref="Q21" authorId="1" shapeId="0" xr:uid="{00000000-0006-0000-2F00-000014000000}">
      <text>
        <r>
          <rPr>
            <b/>
            <sz val="8"/>
            <color indexed="81"/>
            <rFont val="Tahoma"/>
            <family val="2"/>
          </rPr>
          <t>From ALISE:
Part II, Table II-3, Total, ALA only</t>
        </r>
        <r>
          <rPr>
            <sz val="8"/>
            <color indexed="81"/>
            <rFont val="Tahoma"/>
            <family val="2"/>
          </rPr>
          <t xml:space="preserve">
</t>
        </r>
      </text>
    </comment>
    <comment ref="R21" authorId="1" shapeId="0" xr:uid="{00000000-0006-0000-2F00-000015000000}">
      <text>
        <r>
          <rPr>
            <b/>
            <sz val="8"/>
            <color indexed="81"/>
            <rFont val="Tahoma"/>
            <family val="2"/>
          </rPr>
          <t>From ALISE:
Part II, Table II-3, Total all other programs</t>
        </r>
        <r>
          <rPr>
            <sz val="8"/>
            <color indexed="81"/>
            <rFont val="Tahoma"/>
            <family val="2"/>
          </rPr>
          <t xml:space="preserve">
</t>
        </r>
      </text>
    </comment>
    <comment ref="S21" authorId="1" shapeId="0" xr:uid="{00000000-0006-0000-2F00-000016000000}">
      <text>
        <r>
          <rPr>
            <b/>
            <sz val="8"/>
            <color indexed="81"/>
            <rFont val="Tahoma"/>
            <family val="2"/>
          </rPr>
          <t>From ALISE:
Part IV, Line 59</t>
        </r>
        <r>
          <rPr>
            <sz val="8"/>
            <color indexed="81"/>
            <rFont val="Tahoma"/>
            <family val="2"/>
          </rPr>
          <t xml:space="preserve">
</t>
        </r>
      </text>
    </comment>
    <comment ref="U21" authorId="1" shapeId="0" xr:uid="{00000000-0006-0000-2F00-000017000000}">
      <text>
        <r>
          <rPr>
            <b/>
            <sz val="8"/>
            <color indexed="81"/>
            <rFont val="Tahoma"/>
            <family val="2"/>
          </rPr>
          <t>From ALISE:
Part IV, Line 60</t>
        </r>
        <r>
          <rPr>
            <sz val="8"/>
            <color indexed="81"/>
            <rFont val="Tahoma"/>
            <family val="2"/>
          </rPr>
          <t xml:space="preserve">
</t>
        </r>
      </text>
    </comment>
    <comment ref="V21" authorId="1" shapeId="0" xr:uid="{00000000-0006-0000-2F00-000018000000}">
      <text>
        <r>
          <rPr>
            <b/>
            <sz val="8"/>
            <color indexed="81"/>
            <rFont val="Tahoma"/>
            <family val="2"/>
          </rPr>
          <t>From ALISE:
Part IV, Total lines 61, 62, 63, 64, and 68</t>
        </r>
        <r>
          <rPr>
            <sz val="8"/>
            <color indexed="81"/>
            <rFont val="Tahoma"/>
            <family val="2"/>
          </rPr>
          <t xml:space="preserve">
</t>
        </r>
      </text>
    </comment>
    <comment ref="B22" authorId="1" shapeId="0" xr:uid="{00000000-0006-0000-2F00-000019000000}">
      <text>
        <r>
          <rPr>
            <b/>
            <sz val="8"/>
            <color indexed="81"/>
            <rFont val="Tahoma"/>
            <family val="2"/>
          </rPr>
          <t>From ALISE:
Part I, Item 2, Fall</t>
        </r>
        <r>
          <rPr>
            <sz val="8"/>
            <color indexed="81"/>
            <rFont val="Tahoma"/>
            <family val="2"/>
          </rPr>
          <t xml:space="preserve">
</t>
        </r>
      </text>
    </comment>
    <comment ref="C22" authorId="1" shapeId="0" xr:uid="{00000000-0006-0000-2F00-00001A000000}">
      <text>
        <r>
          <rPr>
            <b/>
            <sz val="8"/>
            <color indexed="81"/>
            <rFont val="Tahoma"/>
            <family val="2"/>
          </rPr>
          <t>From ALISE:
Part I, Item 3, Fall</t>
        </r>
        <r>
          <rPr>
            <sz val="8"/>
            <color indexed="81"/>
            <rFont val="Tahoma"/>
            <family val="2"/>
          </rPr>
          <t xml:space="preserve">
</t>
        </r>
      </text>
    </comment>
    <comment ref="I22" authorId="1" shapeId="0" xr:uid="{00000000-0006-0000-2F00-00001B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2F00-00001C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2F00-00001D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2F00-00001E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2F00-00001F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2F00-000020000000}">
      <text>
        <r>
          <rPr>
            <b/>
            <sz val="8"/>
            <color indexed="81"/>
            <rFont val="Tahoma"/>
            <family val="2"/>
          </rPr>
          <t>From ALISE:
Part II, Table II-3, Total, ALA only</t>
        </r>
        <r>
          <rPr>
            <sz val="8"/>
            <color indexed="81"/>
            <rFont val="Tahoma"/>
            <family val="2"/>
          </rPr>
          <t xml:space="preserve">
</t>
        </r>
      </text>
    </comment>
    <comment ref="R22" authorId="1" shapeId="0" xr:uid="{00000000-0006-0000-2F00-000021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2F00-000022000000}">
      <text>
        <r>
          <rPr>
            <b/>
            <sz val="8"/>
            <color indexed="81"/>
            <rFont val="Tahoma"/>
            <family val="2"/>
          </rPr>
          <t>From ALISE:
Part IV, Line 59</t>
        </r>
        <r>
          <rPr>
            <sz val="8"/>
            <color indexed="81"/>
            <rFont val="Tahoma"/>
            <family val="2"/>
          </rPr>
          <t xml:space="preserve">
</t>
        </r>
      </text>
    </comment>
    <comment ref="U22" authorId="1" shapeId="0" xr:uid="{00000000-0006-0000-2F00-000023000000}">
      <text>
        <r>
          <rPr>
            <b/>
            <sz val="8"/>
            <color indexed="81"/>
            <rFont val="Tahoma"/>
            <family val="2"/>
          </rPr>
          <t>From ALISE:
Part IV, Line 60</t>
        </r>
        <r>
          <rPr>
            <sz val="8"/>
            <color indexed="81"/>
            <rFont val="Tahoma"/>
            <family val="2"/>
          </rPr>
          <t xml:space="preserve">
</t>
        </r>
      </text>
    </comment>
    <comment ref="V22" authorId="1" shapeId="0" xr:uid="{00000000-0006-0000-2F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3200-000001000000}">
      <text>
        <r>
          <rPr>
            <b/>
            <sz val="8"/>
            <color indexed="81"/>
            <rFont val="Tahoma"/>
            <family val="2"/>
          </rPr>
          <t>From ALISE:
Part I, Item 2, Fall</t>
        </r>
        <r>
          <rPr>
            <sz val="8"/>
            <color indexed="81"/>
            <rFont val="Tahoma"/>
            <family val="2"/>
          </rPr>
          <t xml:space="preserve">
</t>
        </r>
      </text>
    </comment>
    <comment ref="C20" authorId="0" shapeId="0" xr:uid="{00000000-0006-0000-3200-000002000000}">
      <text>
        <r>
          <rPr>
            <b/>
            <sz val="8"/>
            <color indexed="81"/>
            <rFont val="Tahoma"/>
            <family val="2"/>
          </rPr>
          <t>From ALISE:
Part I, Item 3, Fall</t>
        </r>
        <r>
          <rPr>
            <sz val="8"/>
            <color indexed="81"/>
            <rFont val="Tahoma"/>
            <family val="2"/>
          </rPr>
          <t xml:space="preserve">
</t>
        </r>
      </text>
    </comment>
    <comment ref="I20" authorId="0" shapeId="0" xr:uid="{00000000-0006-0000-32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32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32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32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32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32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32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3200-00000A000000}">
      <text>
        <r>
          <rPr>
            <b/>
            <sz val="8"/>
            <color indexed="81"/>
            <rFont val="Tahoma"/>
            <family val="2"/>
          </rPr>
          <t>From ALISE:
Part IV, Line 59</t>
        </r>
        <r>
          <rPr>
            <sz val="8"/>
            <color indexed="81"/>
            <rFont val="Tahoma"/>
            <family val="2"/>
          </rPr>
          <t xml:space="preserve">
</t>
        </r>
      </text>
    </comment>
    <comment ref="U20" authorId="0" shapeId="0" xr:uid="{00000000-0006-0000-3200-00000B000000}">
      <text>
        <r>
          <rPr>
            <b/>
            <sz val="8"/>
            <color indexed="81"/>
            <rFont val="Tahoma"/>
            <family val="2"/>
          </rPr>
          <t>From ALISE:
Part IV, Line 60</t>
        </r>
        <r>
          <rPr>
            <sz val="8"/>
            <color indexed="81"/>
            <rFont val="Tahoma"/>
            <family val="2"/>
          </rPr>
          <t xml:space="preserve">
</t>
        </r>
      </text>
    </comment>
    <comment ref="V20" authorId="0" shapeId="0" xr:uid="{00000000-0006-0000-32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200-00000D000000}">
      <text>
        <r>
          <rPr>
            <b/>
            <sz val="8"/>
            <color indexed="81"/>
            <rFont val="Tahoma"/>
            <family val="2"/>
          </rPr>
          <t>From ALISE:
Part I, Item 2, Fall</t>
        </r>
        <r>
          <rPr>
            <sz val="8"/>
            <color indexed="81"/>
            <rFont val="Tahoma"/>
            <family val="2"/>
          </rPr>
          <t xml:space="preserve">
</t>
        </r>
      </text>
    </comment>
    <comment ref="C22" authorId="0" shapeId="0" xr:uid="{00000000-0006-0000-3200-00000E000000}">
      <text>
        <r>
          <rPr>
            <b/>
            <sz val="8"/>
            <color indexed="81"/>
            <rFont val="Tahoma"/>
            <family val="2"/>
          </rPr>
          <t>From ALISE:
Part I, Item 3, Fall</t>
        </r>
        <r>
          <rPr>
            <sz val="8"/>
            <color indexed="81"/>
            <rFont val="Tahoma"/>
            <family val="2"/>
          </rPr>
          <t xml:space="preserve">
</t>
        </r>
      </text>
    </comment>
    <comment ref="I22" authorId="0" shapeId="0" xr:uid="{00000000-0006-0000-32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2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2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2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2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2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32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200-000016000000}">
      <text>
        <r>
          <rPr>
            <b/>
            <sz val="8"/>
            <color indexed="81"/>
            <rFont val="Tahoma"/>
            <family val="2"/>
          </rPr>
          <t>From ALISE:
Part IV, Line 59</t>
        </r>
        <r>
          <rPr>
            <sz val="8"/>
            <color indexed="81"/>
            <rFont val="Tahoma"/>
            <family val="2"/>
          </rPr>
          <t xml:space="preserve">
</t>
        </r>
      </text>
    </comment>
    <comment ref="U22" authorId="0" shapeId="0" xr:uid="{00000000-0006-0000-3200-000017000000}">
      <text>
        <r>
          <rPr>
            <b/>
            <sz val="8"/>
            <color indexed="81"/>
            <rFont val="Tahoma"/>
            <family val="2"/>
          </rPr>
          <t>From ALISE:
Part IV, Line 60</t>
        </r>
        <r>
          <rPr>
            <sz val="8"/>
            <color indexed="81"/>
            <rFont val="Tahoma"/>
            <family val="2"/>
          </rPr>
          <t xml:space="preserve">
</t>
        </r>
      </text>
    </comment>
    <comment ref="V22" authorId="0" shapeId="0" xr:uid="{00000000-0006-0000-32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17" authorId="0" shapeId="0" xr:uid="{00000000-0006-0000-0400-000001000000}">
      <text>
        <r>
          <rPr>
            <b/>
            <sz val="8"/>
            <color indexed="81"/>
            <rFont val="Tahoma"/>
            <family val="2"/>
          </rPr>
          <t>From ALISE:
Part I, Item 2, Fall</t>
        </r>
        <r>
          <rPr>
            <sz val="8"/>
            <color indexed="81"/>
            <rFont val="Tahoma"/>
            <family val="2"/>
          </rPr>
          <t xml:space="preserve">
</t>
        </r>
      </text>
    </comment>
    <comment ref="C17" authorId="0" shapeId="0" xr:uid="{00000000-0006-0000-0400-000002000000}">
      <text>
        <r>
          <rPr>
            <b/>
            <sz val="8"/>
            <color indexed="81"/>
            <rFont val="Tahoma"/>
            <family val="2"/>
          </rPr>
          <t>From ALISE:
Part I, Item 3, Fall</t>
        </r>
        <r>
          <rPr>
            <sz val="8"/>
            <color indexed="81"/>
            <rFont val="Tahoma"/>
            <family val="2"/>
          </rPr>
          <t xml:space="preserve">
</t>
        </r>
      </text>
    </comment>
    <comment ref="I17" authorId="0" shapeId="0" xr:uid="{00000000-0006-0000-0400-000003000000}">
      <text>
        <r>
          <rPr>
            <b/>
            <sz val="8"/>
            <color indexed="81"/>
            <rFont val="Tahoma"/>
            <family val="2"/>
          </rPr>
          <t>From ALISE:
Part II, Table II-1,
Total  Full-time,
ALA only</t>
        </r>
        <r>
          <rPr>
            <sz val="8"/>
            <color indexed="81"/>
            <rFont val="Tahoma"/>
            <family val="2"/>
          </rPr>
          <t xml:space="preserve">
</t>
        </r>
      </text>
    </comment>
    <comment ref="J17" authorId="0" shapeId="0" xr:uid="{00000000-0006-0000-0400-000004000000}">
      <text>
        <r>
          <rPr>
            <b/>
            <sz val="8"/>
            <color indexed="81"/>
            <rFont val="Tahoma"/>
            <family val="2"/>
          </rPr>
          <t>From ALISE:
Part II, Table II-1,
Total No. Part-time,
ALA only</t>
        </r>
        <r>
          <rPr>
            <sz val="8"/>
            <color indexed="81"/>
            <rFont val="Tahoma"/>
            <family val="2"/>
          </rPr>
          <t xml:space="preserve">
</t>
        </r>
      </text>
    </comment>
    <comment ref="L17" authorId="0" shapeId="0" xr:uid="{00000000-0006-0000-0400-000005000000}">
      <text>
        <r>
          <rPr>
            <b/>
            <sz val="8"/>
            <color indexed="81"/>
            <rFont val="Tahoma"/>
            <family val="2"/>
          </rPr>
          <t xml:space="preserve">From ALISE:
Part II, Table II-1,
Total Part-Time FTE, ALA only
</t>
        </r>
        <r>
          <rPr>
            <sz val="8"/>
            <color indexed="81"/>
            <rFont val="Tahoma"/>
            <family val="2"/>
          </rPr>
          <t xml:space="preserve">
</t>
        </r>
      </text>
    </comment>
    <comment ref="N17" authorId="0" shapeId="0" xr:uid="{00000000-0006-0000-0400-000006000000}">
      <text>
        <r>
          <rPr>
            <b/>
            <sz val="8"/>
            <color indexed="81"/>
            <rFont val="Tahoma"/>
            <family val="2"/>
          </rPr>
          <t xml:space="preserve">From ALISE:
Part II, Table 11-4, Total AI, AP, B, and H,
ALA only  </t>
        </r>
        <r>
          <rPr>
            <sz val="8"/>
            <color indexed="81"/>
            <rFont val="Tahoma"/>
            <family val="2"/>
          </rPr>
          <t xml:space="preserve">
</t>
        </r>
      </text>
    </comment>
    <comment ref="O17" authorId="0" shapeId="0" xr:uid="{00000000-0006-0000-0400-000007000000}">
      <text>
        <r>
          <rPr>
            <b/>
            <sz val="8"/>
            <color indexed="81"/>
            <rFont val="Tahoma"/>
            <family val="2"/>
          </rPr>
          <t>From ALISE:
Part II, Table II-1, Total FTE, all programs</t>
        </r>
        <r>
          <rPr>
            <sz val="8"/>
            <color indexed="81"/>
            <rFont val="Tahoma"/>
            <family val="2"/>
          </rPr>
          <t xml:space="preserve">
</t>
        </r>
      </text>
    </comment>
    <comment ref="Q17" authorId="0" shapeId="0" xr:uid="{00000000-0006-0000-0400-000008000000}">
      <text>
        <r>
          <rPr>
            <b/>
            <sz val="8"/>
            <color indexed="81"/>
            <rFont val="Tahoma"/>
            <family val="2"/>
          </rPr>
          <t>From ALISE:
Part II, Table II-3, Total, ALA only</t>
        </r>
        <r>
          <rPr>
            <sz val="8"/>
            <color indexed="81"/>
            <rFont val="Tahoma"/>
            <family val="2"/>
          </rPr>
          <t xml:space="preserve">
</t>
        </r>
      </text>
    </comment>
    <comment ref="R17" authorId="0" shapeId="0" xr:uid="{00000000-0006-0000-0400-000009000000}">
      <text>
        <r>
          <rPr>
            <b/>
            <sz val="8"/>
            <color indexed="81"/>
            <rFont val="Tahoma"/>
            <family val="2"/>
          </rPr>
          <t>From ALISE:
Part II, Table II-3, Total all other programs</t>
        </r>
        <r>
          <rPr>
            <sz val="8"/>
            <color indexed="81"/>
            <rFont val="Tahoma"/>
            <family val="2"/>
          </rPr>
          <t xml:space="preserve">
</t>
        </r>
      </text>
    </comment>
    <comment ref="S17" authorId="0" shapeId="0" xr:uid="{00000000-0006-0000-0400-00000A000000}">
      <text>
        <r>
          <rPr>
            <b/>
            <sz val="8"/>
            <color indexed="81"/>
            <rFont val="Tahoma"/>
            <family val="2"/>
          </rPr>
          <t>From ALISE:
Part IV, Line 59</t>
        </r>
        <r>
          <rPr>
            <sz val="8"/>
            <color indexed="81"/>
            <rFont val="Tahoma"/>
            <family val="2"/>
          </rPr>
          <t xml:space="preserve">
</t>
        </r>
      </text>
    </comment>
    <comment ref="U17" authorId="0" shapeId="0" xr:uid="{00000000-0006-0000-0400-00000B000000}">
      <text>
        <r>
          <rPr>
            <b/>
            <sz val="8"/>
            <color indexed="81"/>
            <rFont val="Tahoma"/>
            <family val="2"/>
          </rPr>
          <t>From ALISE:
Part IV, Line 60</t>
        </r>
        <r>
          <rPr>
            <sz val="8"/>
            <color indexed="81"/>
            <rFont val="Tahoma"/>
            <family val="2"/>
          </rPr>
          <t xml:space="preserve">
</t>
        </r>
      </text>
    </comment>
    <comment ref="V17" authorId="0" shapeId="0" xr:uid="{00000000-0006-0000-0400-00000C000000}">
      <text>
        <r>
          <rPr>
            <b/>
            <sz val="8"/>
            <color indexed="81"/>
            <rFont val="Tahoma"/>
            <family val="2"/>
          </rPr>
          <t>From ALISE:
Part IV, Total lines 61, 62, 63, 64, and 68</t>
        </r>
        <r>
          <rPr>
            <sz val="8"/>
            <color indexed="81"/>
            <rFont val="Tahoma"/>
            <family val="2"/>
          </rPr>
          <t xml:space="preserve">
</t>
        </r>
      </text>
    </comment>
    <comment ref="B18" authorId="0" shapeId="0" xr:uid="{00000000-0006-0000-0400-00000D000000}">
      <text>
        <r>
          <rPr>
            <b/>
            <sz val="8"/>
            <color indexed="81"/>
            <rFont val="Tahoma"/>
            <family val="2"/>
          </rPr>
          <t>From ALISE:
Part I, Item 2, Fall</t>
        </r>
        <r>
          <rPr>
            <sz val="8"/>
            <color indexed="81"/>
            <rFont val="Tahoma"/>
            <family val="2"/>
          </rPr>
          <t xml:space="preserve">
</t>
        </r>
      </text>
    </comment>
    <comment ref="C18" authorId="0" shapeId="0" xr:uid="{00000000-0006-0000-0400-00000E000000}">
      <text>
        <r>
          <rPr>
            <b/>
            <sz val="8"/>
            <color indexed="81"/>
            <rFont val="Tahoma"/>
            <family val="2"/>
          </rPr>
          <t>From ALISE:
Part I, Item 3, Fall</t>
        </r>
        <r>
          <rPr>
            <sz val="8"/>
            <color indexed="81"/>
            <rFont val="Tahoma"/>
            <family val="2"/>
          </rPr>
          <t xml:space="preserve">
</t>
        </r>
      </text>
    </comment>
    <comment ref="I18" authorId="0" shapeId="0" xr:uid="{00000000-0006-0000-0400-00000F000000}">
      <text>
        <r>
          <rPr>
            <b/>
            <sz val="8"/>
            <color indexed="81"/>
            <rFont val="Tahoma"/>
            <family val="2"/>
          </rPr>
          <t>From ALISE:
Part II, Table II-1,
Total  Full-time,
ALA only</t>
        </r>
        <r>
          <rPr>
            <sz val="8"/>
            <color indexed="81"/>
            <rFont val="Tahoma"/>
            <family val="2"/>
          </rPr>
          <t xml:space="preserve">
</t>
        </r>
      </text>
    </comment>
    <comment ref="J18" authorId="0" shapeId="0" xr:uid="{00000000-0006-0000-0400-000010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No. Part-time,
</t>
        </r>
        <r>
          <rPr>
            <b/>
            <sz val="8"/>
            <color rgb="FF000000"/>
            <rFont val="Tahoma"/>
            <family val="2"/>
          </rPr>
          <t>ALA only</t>
        </r>
        <r>
          <rPr>
            <sz val="8"/>
            <color rgb="FF000000"/>
            <rFont val="Tahoma"/>
            <family val="2"/>
          </rPr>
          <t xml:space="preserve">
</t>
        </r>
      </text>
    </comment>
    <comment ref="L18" authorId="0" shapeId="0" xr:uid="{00000000-0006-0000-0400-000011000000}">
      <text>
        <r>
          <rPr>
            <b/>
            <sz val="8"/>
            <color indexed="81"/>
            <rFont val="Tahoma"/>
            <family val="2"/>
          </rPr>
          <t xml:space="preserve">From ALISE:
Part II, Table II-1,
Total Part-Time FTE, ALA only
</t>
        </r>
        <r>
          <rPr>
            <sz val="8"/>
            <color indexed="81"/>
            <rFont val="Tahoma"/>
            <family val="2"/>
          </rPr>
          <t xml:space="preserve">
</t>
        </r>
      </text>
    </comment>
    <comment ref="N18" authorId="0" shapeId="0" xr:uid="{00000000-0006-0000-0400-000012000000}">
      <text>
        <r>
          <rPr>
            <b/>
            <sz val="8"/>
            <color rgb="FF000000"/>
            <rFont val="Tahoma"/>
            <family val="2"/>
          </rPr>
          <t xml:space="preserve">From ALISE:
</t>
        </r>
        <r>
          <rPr>
            <b/>
            <sz val="8"/>
            <color rgb="FF000000"/>
            <rFont val="Tahoma"/>
            <family val="2"/>
          </rPr>
          <t xml:space="preserve">Part II, Table 11-4, Total AI, AP, B, and H,
</t>
        </r>
        <r>
          <rPr>
            <b/>
            <sz val="8"/>
            <color rgb="FF000000"/>
            <rFont val="Tahoma"/>
            <family val="2"/>
          </rPr>
          <t xml:space="preserve">ALA only  </t>
        </r>
        <r>
          <rPr>
            <sz val="8"/>
            <color rgb="FF000000"/>
            <rFont val="Tahoma"/>
            <family val="2"/>
          </rPr>
          <t xml:space="preserve">
</t>
        </r>
      </text>
    </comment>
    <comment ref="O18" authorId="0" shapeId="0" xr:uid="{00000000-0006-0000-0400-000013000000}">
      <text>
        <r>
          <rPr>
            <b/>
            <sz val="8"/>
            <color indexed="81"/>
            <rFont val="Tahoma"/>
            <family val="2"/>
          </rPr>
          <t>From ALISE:
Part II, Table II-1, Total FTE, all programs</t>
        </r>
        <r>
          <rPr>
            <sz val="8"/>
            <color indexed="81"/>
            <rFont val="Tahoma"/>
            <family val="2"/>
          </rPr>
          <t xml:space="preserve">
</t>
        </r>
      </text>
    </comment>
    <comment ref="Q18" authorId="0" shapeId="0" xr:uid="{00000000-0006-0000-0400-000014000000}">
      <text>
        <r>
          <rPr>
            <b/>
            <sz val="8"/>
            <color indexed="81"/>
            <rFont val="Tahoma"/>
            <family val="2"/>
          </rPr>
          <t>From ALISE:
Part II, Table II-3, Total, ALA only</t>
        </r>
        <r>
          <rPr>
            <sz val="8"/>
            <color indexed="81"/>
            <rFont val="Tahoma"/>
            <family val="2"/>
          </rPr>
          <t xml:space="preserve">
</t>
        </r>
      </text>
    </comment>
    <comment ref="R18" authorId="0" shapeId="0" xr:uid="{00000000-0006-0000-0400-000015000000}">
      <text>
        <r>
          <rPr>
            <b/>
            <sz val="8"/>
            <color indexed="81"/>
            <rFont val="Tahoma"/>
            <family val="2"/>
          </rPr>
          <t>From ALISE:
Part II, Table II-3, Total all other programs</t>
        </r>
        <r>
          <rPr>
            <sz val="8"/>
            <color indexed="81"/>
            <rFont val="Tahoma"/>
            <family val="2"/>
          </rPr>
          <t xml:space="preserve">
</t>
        </r>
      </text>
    </comment>
    <comment ref="S18" authorId="0" shapeId="0" xr:uid="{00000000-0006-0000-0400-000016000000}">
      <text>
        <r>
          <rPr>
            <b/>
            <sz val="8"/>
            <color indexed="81"/>
            <rFont val="Tahoma"/>
            <family val="2"/>
          </rPr>
          <t>From ALISE:
Part IV, Line 59</t>
        </r>
        <r>
          <rPr>
            <sz val="8"/>
            <color indexed="81"/>
            <rFont val="Tahoma"/>
            <family val="2"/>
          </rPr>
          <t xml:space="preserve">
</t>
        </r>
      </text>
    </comment>
    <comment ref="U18" authorId="0" shapeId="0" xr:uid="{00000000-0006-0000-0400-000017000000}">
      <text>
        <r>
          <rPr>
            <b/>
            <sz val="8"/>
            <color indexed="81"/>
            <rFont val="Tahoma"/>
            <family val="2"/>
          </rPr>
          <t>From ALISE:
Part IV, Line 60</t>
        </r>
        <r>
          <rPr>
            <sz val="8"/>
            <color indexed="81"/>
            <rFont val="Tahoma"/>
            <family val="2"/>
          </rPr>
          <t xml:space="preserve">
</t>
        </r>
      </text>
    </comment>
    <comment ref="V18" authorId="0" shapeId="0" xr:uid="{00000000-0006-0000-0400-000018000000}">
      <text>
        <r>
          <rPr>
            <b/>
            <sz val="8"/>
            <color indexed="81"/>
            <rFont val="Tahoma"/>
            <family val="2"/>
          </rPr>
          <t>From ALISE:
Part IV, Total lines 61, 62, 63, 64, and 68</t>
        </r>
        <r>
          <rPr>
            <sz val="8"/>
            <color indexed="81"/>
            <rFont val="Tahoma"/>
            <family val="2"/>
          </rPr>
          <t xml:space="preserve">
</t>
        </r>
      </text>
    </comment>
    <comment ref="B19" authorId="0" shapeId="0" xr:uid="{00000000-0006-0000-0400-000019000000}">
      <text>
        <r>
          <rPr>
            <b/>
            <sz val="8"/>
            <color indexed="81"/>
            <rFont val="Tahoma"/>
            <family val="2"/>
          </rPr>
          <t>From ALISE:
Part I, Item 2, Fall</t>
        </r>
        <r>
          <rPr>
            <sz val="8"/>
            <color indexed="81"/>
            <rFont val="Tahoma"/>
            <family val="2"/>
          </rPr>
          <t xml:space="preserve">
</t>
        </r>
      </text>
    </comment>
    <comment ref="C19" authorId="0" shapeId="0" xr:uid="{00000000-0006-0000-0400-00001A000000}">
      <text>
        <r>
          <rPr>
            <b/>
            <sz val="8"/>
            <color indexed="81"/>
            <rFont val="Tahoma"/>
            <family val="2"/>
          </rPr>
          <t>From ALISE:
Part I, Item 3, Fall</t>
        </r>
        <r>
          <rPr>
            <sz val="8"/>
            <color indexed="81"/>
            <rFont val="Tahoma"/>
            <family val="2"/>
          </rPr>
          <t xml:space="preserve">
</t>
        </r>
      </text>
    </comment>
    <comment ref="I19" authorId="0" shapeId="0" xr:uid="{00000000-0006-0000-0400-00001B000000}">
      <text>
        <r>
          <rPr>
            <b/>
            <sz val="8"/>
            <color indexed="81"/>
            <rFont val="Tahoma"/>
            <family val="2"/>
          </rPr>
          <t>From ALISE:
Part II, Table II-1,
Total  Full-time,
ALA only</t>
        </r>
        <r>
          <rPr>
            <sz val="8"/>
            <color indexed="81"/>
            <rFont val="Tahoma"/>
            <family val="2"/>
          </rPr>
          <t xml:space="preserve">
</t>
        </r>
      </text>
    </comment>
    <comment ref="J19" authorId="0" shapeId="0" xr:uid="{00000000-0006-0000-0400-00001C000000}">
      <text>
        <r>
          <rPr>
            <b/>
            <sz val="8"/>
            <color indexed="81"/>
            <rFont val="Tahoma"/>
            <family val="2"/>
          </rPr>
          <t>From ALISE:
Part II, Table II-1,
Total No. Part-time,
ALA only</t>
        </r>
        <r>
          <rPr>
            <sz val="8"/>
            <color indexed="81"/>
            <rFont val="Tahoma"/>
            <family val="2"/>
          </rPr>
          <t xml:space="preserve">
</t>
        </r>
      </text>
    </comment>
    <comment ref="L19" authorId="0" shapeId="0" xr:uid="{00000000-0006-0000-0400-00001D000000}">
      <text>
        <r>
          <rPr>
            <b/>
            <sz val="8"/>
            <color indexed="81"/>
            <rFont val="Tahoma"/>
            <family val="2"/>
          </rPr>
          <t xml:space="preserve">From ALISE:
Part II, Table II-1,
Total Part-Time FTE, ALA only
</t>
        </r>
        <r>
          <rPr>
            <sz val="8"/>
            <color indexed="81"/>
            <rFont val="Tahoma"/>
            <family val="2"/>
          </rPr>
          <t xml:space="preserve">
</t>
        </r>
      </text>
    </comment>
    <comment ref="N19" authorId="0" shapeId="0" xr:uid="{00000000-0006-0000-0400-00001E000000}">
      <text>
        <r>
          <rPr>
            <b/>
            <sz val="8"/>
            <color indexed="81"/>
            <rFont val="Tahoma"/>
            <family val="2"/>
          </rPr>
          <t xml:space="preserve">From ALISE:
Part II, Table 11-4, Total AI, AP, B, and H,
ALA only  </t>
        </r>
        <r>
          <rPr>
            <sz val="8"/>
            <color indexed="81"/>
            <rFont val="Tahoma"/>
            <family val="2"/>
          </rPr>
          <t xml:space="preserve">
</t>
        </r>
      </text>
    </comment>
    <comment ref="O19" authorId="0" shapeId="0" xr:uid="{00000000-0006-0000-0400-00001F000000}">
      <text>
        <r>
          <rPr>
            <b/>
            <sz val="8"/>
            <color indexed="81"/>
            <rFont val="Tahoma"/>
            <family val="2"/>
          </rPr>
          <t>From ALISE:
Part II, Table II-1, Total FTE, all programs</t>
        </r>
        <r>
          <rPr>
            <sz val="8"/>
            <color indexed="81"/>
            <rFont val="Tahoma"/>
            <family val="2"/>
          </rPr>
          <t xml:space="preserve">
</t>
        </r>
      </text>
    </comment>
    <comment ref="Q19" authorId="0" shapeId="0" xr:uid="{00000000-0006-0000-0400-000020000000}">
      <text>
        <r>
          <rPr>
            <b/>
            <sz val="8"/>
            <color indexed="81"/>
            <rFont val="Tahoma"/>
            <family val="2"/>
          </rPr>
          <t>From ALISE:
Part II, Table II-3, Total, ALA only</t>
        </r>
        <r>
          <rPr>
            <sz val="8"/>
            <color indexed="81"/>
            <rFont val="Tahoma"/>
            <family val="2"/>
          </rPr>
          <t xml:space="preserve">
</t>
        </r>
      </text>
    </comment>
    <comment ref="R19" authorId="0" shapeId="0" xr:uid="{00000000-0006-0000-0400-000021000000}">
      <text>
        <r>
          <rPr>
            <b/>
            <sz val="8"/>
            <color indexed="81"/>
            <rFont val="Tahoma"/>
            <family val="2"/>
          </rPr>
          <t>From ALISE:
Part II, Table II-3, Total all other programs</t>
        </r>
        <r>
          <rPr>
            <sz val="8"/>
            <color indexed="81"/>
            <rFont val="Tahoma"/>
            <family val="2"/>
          </rPr>
          <t xml:space="preserve">
</t>
        </r>
      </text>
    </comment>
    <comment ref="S19" authorId="0" shapeId="0" xr:uid="{00000000-0006-0000-0400-000022000000}">
      <text>
        <r>
          <rPr>
            <b/>
            <sz val="8"/>
            <color indexed="81"/>
            <rFont val="Tahoma"/>
            <family val="2"/>
          </rPr>
          <t>From ALISE:
Part IV, Line 59</t>
        </r>
        <r>
          <rPr>
            <sz val="8"/>
            <color indexed="81"/>
            <rFont val="Tahoma"/>
            <family val="2"/>
          </rPr>
          <t xml:space="preserve">
</t>
        </r>
      </text>
    </comment>
    <comment ref="U19" authorId="0" shapeId="0" xr:uid="{00000000-0006-0000-0400-000023000000}">
      <text>
        <r>
          <rPr>
            <b/>
            <sz val="8"/>
            <color indexed="81"/>
            <rFont val="Tahoma"/>
            <family val="2"/>
          </rPr>
          <t>From ALISE:
Part IV, Line 60</t>
        </r>
        <r>
          <rPr>
            <sz val="8"/>
            <color indexed="81"/>
            <rFont val="Tahoma"/>
            <family val="2"/>
          </rPr>
          <t xml:space="preserve">
</t>
        </r>
      </text>
    </comment>
    <comment ref="V19" authorId="0" shapeId="0" xr:uid="{00000000-0006-0000-0400-000024000000}">
      <text>
        <r>
          <rPr>
            <b/>
            <sz val="8"/>
            <color indexed="81"/>
            <rFont val="Tahoma"/>
            <family val="2"/>
          </rPr>
          <t>From ALISE:
Part IV, Total lines 61, 62, 63, 64, and 68</t>
        </r>
        <r>
          <rPr>
            <sz val="8"/>
            <color indexed="81"/>
            <rFont val="Tahoma"/>
            <family val="2"/>
          </rPr>
          <t xml:space="preserve">
</t>
        </r>
      </text>
    </comment>
    <comment ref="B20" authorId="0" shapeId="0" xr:uid="{00000000-0006-0000-0400-000025000000}">
      <text>
        <r>
          <rPr>
            <b/>
            <sz val="8"/>
            <color indexed="81"/>
            <rFont val="Tahoma"/>
            <family val="2"/>
          </rPr>
          <t>From ALISE:
Part I, Item 2, Fall</t>
        </r>
        <r>
          <rPr>
            <sz val="8"/>
            <color indexed="81"/>
            <rFont val="Tahoma"/>
            <family val="2"/>
          </rPr>
          <t xml:space="preserve">
</t>
        </r>
      </text>
    </comment>
    <comment ref="C20" authorId="0" shapeId="0" xr:uid="{00000000-0006-0000-0400-000026000000}">
      <text>
        <r>
          <rPr>
            <b/>
            <sz val="8"/>
            <color indexed="81"/>
            <rFont val="Tahoma"/>
            <family val="2"/>
          </rPr>
          <t>From ALISE:
Part I, Item 3, Fall</t>
        </r>
        <r>
          <rPr>
            <sz val="8"/>
            <color indexed="81"/>
            <rFont val="Tahoma"/>
            <family val="2"/>
          </rPr>
          <t xml:space="preserve">
</t>
        </r>
      </text>
    </comment>
    <comment ref="I20" authorId="0" shapeId="0" xr:uid="{00000000-0006-0000-0400-000027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0400-000028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0400-000029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0400-00002A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0400-00002B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0400-00002C000000}">
      <text>
        <r>
          <rPr>
            <b/>
            <sz val="8"/>
            <color indexed="81"/>
            <rFont val="Tahoma"/>
            <family val="2"/>
          </rPr>
          <t>From ALISE:
Part II, Table II-3, Total, ALA only</t>
        </r>
        <r>
          <rPr>
            <sz val="8"/>
            <color indexed="81"/>
            <rFont val="Tahoma"/>
            <family val="2"/>
          </rPr>
          <t xml:space="preserve">
</t>
        </r>
      </text>
    </comment>
    <comment ref="R20" authorId="0" shapeId="0" xr:uid="{00000000-0006-0000-0400-00002D000000}">
      <text>
        <r>
          <rPr>
            <b/>
            <sz val="8"/>
            <color rgb="FF000000"/>
            <rFont val="Tahoma"/>
            <family val="2"/>
          </rPr>
          <t xml:space="preserve">From ALISE:
</t>
        </r>
        <r>
          <rPr>
            <b/>
            <sz val="8"/>
            <color rgb="FF000000"/>
            <rFont val="Tahoma"/>
            <family val="2"/>
          </rPr>
          <t>Part II, Table II-3, Total all other programs</t>
        </r>
        <r>
          <rPr>
            <sz val="8"/>
            <color rgb="FF000000"/>
            <rFont val="Tahoma"/>
            <family val="2"/>
          </rPr>
          <t xml:space="preserve">
</t>
        </r>
      </text>
    </comment>
    <comment ref="S20" authorId="0" shapeId="0" xr:uid="{00000000-0006-0000-0400-00002E000000}">
      <text>
        <r>
          <rPr>
            <b/>
            <sz val="8"/>
            <color indexed="81"/>
            <rFont val="Tahoma"/>
            <family val="2"/>
          </rPr>
          <t>From ALISE:
Part IV, Line 59</t>
        </r>
        <r>
          <rPr>
            <sz val="8"/>
            <color indexed="81"/>
            <rFont val="Tahoma"/>
            <family val="2"/>
          </rPr>
          <t xml:space="preserve">
</t>
        </r>
      </text>
    </comment>
    <comment ref="U20" authorId="0" shapeId="0" xr:uid="{00000000-0006-0000-0400-00002F000000}">
      <text>
        <r>
          <rPr>
            <b/>
            <sz val="8"/>
            <color indexed="81"/>
            <rFont val="Tahoma"/>
            <family val="2"/>
          </rPr>
          <t>From ALISE:
Part IV, Line 60</t>
        </r>
        <r>
          <rPr>
            <sz val="8"/>
            <color indexed="81"/>
            <rFont val="Tahoma"/>
            <family val="2"/>
          </rPr>
          <t xml:space="preserve">
</t>
        </r>
      </text>
    </comment>
    <comment ref="V20" authorId="0" shapeId="0" xr:uid="{00000000-0006-0000-0400-000030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0400-000031000000}">
      <text>
        <r>
          <rPr>
            <b/>
            <sz val="8"/>
            <color indexed="81"/>
            <rFont val="Tahoma"/>
            <family val="2"/>
          </rPr>
          <t>From ALISE:
Part I, Item 2, Fall</t>
        </r>
        <r>
          <rPr>
            <sz val="8"/>
            <color indexed="81"/>
            <rFont val="Tahoma"/>
            <family val="2"/>
          </rPr>
          <t xml:space="preserve">
</t>
        </r>
      </text>
    </comment>
    <comment ref="C22" authorId="0" shapeId="0" xr:uid="{00000000-0006-0000-0400-000032000000}">
      <text>
        <r>
          <rPr>
            <b/>
            <sz val="8"/>
            <color indexed="81"/>
            <rFont val="Tahoma"/>
            <family val="2"/>
          </rPr>
          <t>From ALISE:
Part I, Item 3, Fall</t>
        </r>
        <r>
          <rPr>
            <sz val="8"/>
            <color indexed="81"/>
            <rFont val="Tahoma"/>
            <family val="2"/>
          </rPr>
          <t xml:space="preserve">
</t>
        </r>
      </text>
    </comment>
    <comment ref="I22" authorId="0" shapeId="0" xr:uid="{00000000-0006-0000-0400-000033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0400-000034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0400-000035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0400-000036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0400-000037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0400-000038000000}">
      <text>
        <r>
          <rPr>
            <b/>
            <sz val="8"/>
            <color indexed="81"/>
            <rFont val="Tahoma"/>
            <family val="2"/>
          </rPr>
          <t>From ALISE:
Part II, Table II-3, Total, ALA only</t>
        </r>
        <r>
          <rPr>
            <sz val="8"/>
            <color indexed="81"/>
            <rFont val="Tahoma"/>
            <family val="2"/>
          </rPr>
          <t xml:space="preserve">
</t>
        </r>
      </text>
    </comment>
    <comment ref="R22" authorId="0" shapeId="0" xr:uid="{00000000-0006-0000-0400-000039000000}">
      <text>
        <r>
          <rPr>
            <b/>
            <sz val="8"/>
            <color rgb="FF000000"/>
            <rFont val="Tahoma"/>
            <family val="2"/>
          </rPr>
          <t xml:space="preserve">From ALISE:
</t>
        </r>
        <r>
          <rPr>
            <b/>
            <sz val="8"/>
            <color rgb="FF000000"/>
            <rFont val="Tahoma"/>
            <family val="2"/>
          </rPr>
          <t>Part II, Table II-3, Total all other programs</t>
        </r>
        <r>
          <rPr>
            <sz val="8"/>
            <color rgb="FF000000"/>
            <rFont val="Tahoma"/>
            <family val="2"/>
          </rPr>
          <t xml:space="preserve">
</t>
        </r>
      </text>
    </comment>
    <comment ref="S22" authorId="0" shapeId="0" xr:uid="{00000000-0006-0000-0400-00003A000000}">
      <text>
        <r>
          <rPr>
            <b/>
            <sz val="8"/>
            <color indexed="81"/>
            <rFont val="Tahoma"/>
            <family val="2"/>
          </rPr>
          <t>From ALISE:
Part IV, Line 59</t>
        </r>
        <r>
          <rPr>
            <sz val="8"/>
            <color indexed="81"/>
            <rFont val="Tahoma"/>
            <family val="2"/>
          </rPr>
          <t xml:space="preserve">
</t>
        </r>
      </text>
    </comment>
    <comment ref="U22" authorId="0" shapeId="0" xr:uid="{00000000-0006-0000-0400-00003B000000}">
      <text>
        <r>
          <rPr>
            <b/>
            <sz val="8"/>
            <color indexed="81"/>
            <rFont val="Tahoma"/>
            <family val="2"/>
          </rPr>
          <t>From ALISE:
Part IV, Line 60</t>
        </r>
        <r>
          <rPr>
            <sz val="8"/>
            <color indexed="81"/>
            <rFont val="Tahoma"/>
            <family val="2"/>
          </rPr>
          <t xml:space="preserve">
</t>
        </r>
      </text>
    </comment>
    <comment ref="V22" authorId="0" shapeId="0" xr:uid="{00000000-0006-0000-0400-00003C000000}">
      <text>
        <r>
          <rPr>
            <b/>
            <sz val="8"/>
            <color indexed="81"/>
            <rFont val="Tahoma"/>
            <family val="2"/>
          </rPr>
          <t>From ALISE:
Part IV, Total lines 61, 62, 63, 64, and 68</t>
        </r>
        <r>
          <rPr>
            <sz val="8"/>
            <color indexed="81"/>
            <rFont val="Tahoma"/>
            <family val="2"/>
          </rPr>
          <t xml:space="preserve">
</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2" authorId="0" shapeId="0" xr:uid="{00000000-0006-0000-3400-000001000000}">
      <text>
        <r>
          <rPr>
            <b/>
            <sz val="8"/>
            <color indexed="81"/>
            <rFont val="Tahoma"/>
            <family val="2"/>
          </rPr>
          <t>From ALISE:
Part I, Item 2, Fall</t>
        </r>
        <r>
          <rPr>
            <sz val="8"/>
            <color indexed="81"/>
            <rFont val="Tahoma"/>
            <family val="2"/>
          </rPr>
          <t xml:space="preserve">
</t>
        </r>
      </text>
    </comment>
    <comment ref="C22" authorId="0" shapeId="0" xr:uid="{00000000-0006-0000-3400-000002000000}">
      <text>
        <r>
          <rPr>
            <b/>
            <sz val="8"/>
            <color indexed="81"/>
            <rFont val="Tahoma"/>
            <family val="2"/>
          </rPr>
          <t>From ALISE:
Part I, Item 3, Fall</t>
        </r>
        <r>
          <rPr>
            <sz val="8"/>
            <color indexed="81"/>
            <rFont val="Tahoma"/>
            <family val="2"/>
          </rPr>
          <t xml:space="preserve">
</t>
        </r>
      </text>
    </comment>
    <comment ref="I22" authorId="0" shapeId="0" xr:uid="{00000000-0006-0000-3400-000003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400-000004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400-000005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400-000006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400-000007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400-000008000000}">
      <text>
        <r>
          <rPr>
            <b/>
            <sz val="8"/>
            <color indexed="81"/>
            <rFont val="Tahoma"/>
            <family val="2"/>
          </rPr>
          <t>From ALISE:
Part II, Table II-3, Total, ALA only</t>
        </r>
        <r>
          <rPr>
            <sz val="8"/>
            <color indexed="81"/>
            <rFont val="Tahoma"/>
            <family val="2"/>
          </rPr>
          <t xml:space="preserve">
</t>
        </r>
      </text>
    </comment>
    <comment ref="R22" authorId="0" shapeId="0" xr:uid="{00000000-0006-0000-3400-000009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400-00000A000000}">
      <text>
        <r>
          <rPr>
            <b/>
            <sz val="8"/>
            <color indexed="81"/>
            <rFont val="Tahoma"/>
            <family val="2"/>
          </rPr>
          <t>From ALISE:
Part IV, Line 59</t>
        </r>
        <r>
          <rPr>
            <sz val="8"/>
            <color indexed="81"/>
            <rFont val="Tahoma"/>
            <family val="2"/>
          </rPr>
          <t xml:space="preserve">
</t>
        </r>
      </text>
    </comment>
    <comment ref="U22" authorId="0" shapeId="0" xr:uid="{00000000-0006-0000-3400-00000B000000}">
      <text>
        <r>
          <rPr>
            <b/>
            <sz val="8"/>
            <color indexed="81"/>
            <rFont val="Tahoma"/>
            <family val="2"/>
          </rPr>
          <t>From ALISE:
Part IV, Line 60</t>
        </r>
        <r>
          <rPr>
            <sz val="8"/>
            <color indexed="81"/>
            <rFont val="Tahoma"/>
            <family val="2"/>
          </rPr>
          <t xml:space="preserve">
</t>
        </r>
      </text>
    </comment>
    <comment ref="V22" authorId="0" shapeId="0" xr:uid="{00000000-0006-0000-34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3500-000001000000}">
      <text>
        <r>
          <rPr>
            <b/>
            <sz val="8"/>
            <color indexed="81"/>
            <rFont val="Tahoma"/>
            <family val="2"/>
          </rPr>
          <t>From ALISE:
Part I, Item 2, Fall</t>
        </r>
        <r>
          <rPr>
            <sz val="8"/>
            <color indexed="81"/>
            <rFont val="Tahoma"/>
            <family val="2"/>
          </rPr>
          <t xml:space="preserve">
</t>
        </r>
      </text>
    </comment>
    <comment ref="C20" authorId="0" shapeId="0" xr:uid="{00000000-0006-0000-3500-000002000000}">
      <text>
        <r>
          <rPr>
            <b/>
            <sz val="8"/>
            <color indexed="81"/>
            <rFont val="Tahoma"/>
            <family val="2"/>
          </rPr>
          <t>From ALISE:
Part I, Item 3, Fall</t>
        </r>
        <r>
          <rPr>
            <sz val="8"/>
            <color indexed="81"/>
            <rFont val="Tahoma"/>
            <family val="2"/>
          </rPr>
          <t xml:space="preserve">
</t>
        </r>
      </text>
    </comment>
    <comment ref="I20" authorId="0" shapeId="0" xr:uid="{00000000-0006-0000-35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35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35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35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35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35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35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3500-00000A000000}">
      <text>
        <r>
          <rPr>
            <b/>
            <sz val="8"/>
            <color indexed="81"/>
            <rFont val="Tahoma"/>
            <family val="2"/>
          </rPr>
          <t>From ALISE:
Part IV, Line 59</t>
        </r>
        <r>
          <rPr>
            <sz val="8"/>
            <color indexed="81"/>
            <rFont val="Tahoma"/>
            <family val="2"/>
          </rPr>
          <t xml:space="preserve">
</t>
        </r>
      </text>
    </comment>
    <comment ref="U20" authorId="0" shapeId="0" xr:uid="{00000000-0006-0000-3500-00000B000000}">
      <text>
        <r>
          <rPr>
            <b/>
            <sz val="8"/>
            <color indexed="81"/>
            <rFont val="Tahoma"/>
            <family val="2"/>
          </rPr>
          <t>From ALISE:
Part IV, Line 60</t>
        </r>
        <r>
          <rPr>
            <sz val="8"/>
            <color indexed="81"/>
            <rFont val="Tahoma"/>
            <family val="2"/>
          </rPr>
          <t xml:space="preserve">
</t>
        </r>
      </text>
    </comment>
    <comment ref="V20" authorId="0" shapeId="0" xr:uid="{00000000-0006-0000-35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500-00000D000000}">
      <text>
        <r>
          <rPr>
            <b/>
            <sz val="8"/>
            <color indexed="81"/>
            <rFont val="Tahoma"/>
            <family val="2"/>
          </rPr>
          <t>From ALISE:
Part I, Item 2, Fall</t>
        </r>
        <r>
          <rPr>
            <sz val="8"/>
            <color indexed="81"/>
            <rFont val="Tahoma"/>
            <family val="2"/>
          </rPr>
          <t xml:space="preserve">
</t>
        </r>
      </text>
    </comment>
    <comment ref="C22" authorId="0" shapeId="0" xr:uid="{00000000-0006-0000-3500-00000E000000}">
      <text>
        <r>
          <rPr>
            <b/>
            <sz val="8"/>
            <color indexed="81"/>
            <rFont val="Tahoma"/>
            <family val="2"/>
          </rPr>
          <t>From ALISE:
Part I, Item 3, Fall</t>
        </r>
        <r>
          <rPr>
            <sz val="8"/>
            <color indexed="81"/>
            <rFont val="Tahoma"/>
            <family val="2"/>
          </rPr>
          <t xml:space="preserve">
</t>
        </r>
      </text>
    </comment>
    <comment ref="I22" authorId="0" shapeId="0" xr:uid="{00000000-0006-0000-35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5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5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5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5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5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35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500-000016000000}">
      <text>
        <r>
          <rPr>
            <b/>
            <sz val="8"/>
            <color indexed="81"/>
            <rFont val="Tahoma"/>
            <family val="2"/>
          </rPr>
          <t>From ALISE:
Part IV, Line 59</t>
        </r>
        <r>
          <rPr>
            <sz val="8"/>
            <color indexed="81"/>
            <rFont val="Tahoma"/>
            <family val="2"/>
          </rPr>
          <t xml:space="preserve">
</t>
        </r>
      </text>
    </comment>
    <comment ref="U22" authorId="0" shapeId="0" xr:uid="{00000000-0006-0000-3500-000017000000}">
      <text>
        <r>
          <rPr>
            <b/>
            <sz val="8"/>
            <color indexed="81"/>
            <rFont val="Tahoma"/>
            <family val="2"/>
          </rPr>
          <t>From ALISE:
Part IV, Line 60</t>
        </r>
        <r>
          <rPr>
            <sz val="8"/>
            <color indexed="81"/>
            <rFont val="Tahoma"/>
            <family val="2"/>
          </rPr>
          <t xml:space="preserve">
</t>
        </r>
      </text>
    </comment>
    <comment ref="V22" authorId="0" shapeId="0" xr:uid="{00000000-0006-0000-35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3600-000001000000}">
      <text>
        <r>
          <rPr>
            <b/>
            <sz val="8"/>
            <color indexed="81"/>
            <rFont val="Tahoma"/>
            <family val="2"/>
          </rPr>
          <t>From ALISE:
Part I, Item 2, Fall</t>
        </r>
        <r>
          <rPr>
            <sz val="8"/>
            <color indexed="81"/>
            <rFont val="Tahoma"/>
            <family val="2"/>
          </rPr>
          <t xml:space="preserve">
</t>
        </r>
      </text>
    </comment>
    <comment ref="C20" authorId="0" shapeId="0" xr:uid="{00000000-0006-0000-3600-000002000000}">
      <text>
        <r>
          <rPr>
            <b/>
            <sz val="8"/>
            <color indexed="81"/>
            <rFont val="Tahoma"/>
            <family val="2"/>
          </rPr>
          <t>From ALISE:
Part I, Item 3, Fall</t>
        </r>
        <r>
          <rPr>
            <sz val="8"/>
            <color indexed="81"/>
            <rFont val="Tahoma"/>
            <family val="2"/>
          </rPr>
          <t xml:space="preserve">
</t>
        </r>
      </text>
    </comment>
    <comment ref="I20" authorId="0" shapeId="0" xr:uid="{00000000-0006-0000-36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36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3600-000005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Part-Time FTE, ALA only
</t>
        </r>
        <r>
          <rPr>
            <sz val="8"/>
            <color rgb="FF000000"/>
            <rFont val="Tahoma"/>
            <family val="2"/>
          </rPr>
          <t xml:space="preserve">
</t>
        </r>
      </text>
    </comment>
    <comment ref="N20" authorId="0" shapeId="0" xr:uid="{00000000-0006-0000-36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36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36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36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3600-00000A000000}">
      <text>
        <r>
          <rPr>
            <b/>
            <sz val="8"/>
            <color indexed="81"/>
            <rFont val="Tahoma"/>
            <family val="2"/>
          </rPr>
          <t>From ALISE:
Part IV, Line 59</t>
        </r>
        <r>
          <rPr>
            <sz val="8"/>
            <color indexed="81"/>
            <rFont val="Tahoma"/>
            <family val="2"/>
          </rPr>
          <t xml:space="preserve">
</t>
        </r>
      </text>
    </comment>
    <comment ref="U20" authorId="0" shapeId="0" xr:uid="{00000000-0006-0000-3600-00000B000000}">
      <text>
        <r>
          <rPr>
            <b/>
            <sz val="8"/>
            <color indexed="81"/>
            <rFont val="Tahoma"/>
            <family val="2"/>
          </rPr>
          <t>From ALISE:
Part IV, Line 60</t>
        </r>
        <r>
          <rPr>
            <sz val="8"/>
            <color indexed="81"/>
            <rFont val="Tahoma"/>
            <family val="2"/>
          </rPr>
          <t xml:space="preserve">
</t>
        </r>
      </text>
    </comment>
    <comment ref="V20" authorId="0" shapeId="0" xr:uid="{00000000-0006-0000-36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600-00000D000000}">
      <text>
        <r>
          <rPr>
            <b/>
            <sz val="8"/>
            <color indexed="81"/>
            <rFont val="Tahoma"/>
            <family val="2"/>
          </rPr>
          <t>From ALISE:
Part I, Item 2, Fall</t>
        </r>
        <r>
          <rPr>
            <sz val="8"/>
            <color indexed="81"/>
            <rFont val="Tahoma"/>
            <family val="2"/>
          </rPr>
          <t xml:space="preserve">
</t>
        </r>
      </text>
    </comment>
    <comment ref="C22" authorId="0" shapeId="0" xr:uid="{00000000-0006-0000-3600-00000E000000}">
      <text>
        <r>
          <rPr>
            <b/>
            <sz val="8"/>
            <color indexed="81"/>
            <rFont val="Tahoma"/>
            <family val="2"/>
          </rPr>
          <t>From ALISE:
Part I, Item 3, Fall</t>
        </r>
        <r>
          <rPr>
            <sz val="8"/>
            <color indexed="81"/>
            <rFont val="Tahoma"/>
            <family val="2"/>
          </rPr>
          <t xml:space="preserve">
</t>
        </r>
      </text>
    </comment>
    <comment ref="I22" authorId="0" shapeId="0" xr:uid="{00000000-0006-0000-36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6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6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6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6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6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36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600-000016000000}">
      <text>
        <r>
          <rPr>
            <b/>
            <sz val="8"/>
            <color indexed="81"/>
            <rFont val="Tahoma"/>
            <family val="2"/>
          </rPr>
          <t>From ALISE:
Part IV, Line 59</t>
        </r>
        <r>
          <rPr>
            <sz val="8"/>
            <color indexed="81"/>
            <rFont val="Tahoma"/>
            <family val="2"/>
          </rPr>
          <t xml:space="preserve">
</t>
        </r>
      </text>
    </comment>
    <comment ref="U22" authorId="0" shapeId="0" xr:uid="{00000000-0006-0000-3600-000017000000}">
      <text>
        <r>
          <rPr>
            <b/>
            <sz val="8"/>
            <color indexed="81"/>
            <rFont val="Tahoma"/>
            <family val="2"/>
          </rPr>
          <t>From ALISE:
Part IV, Line 60</t>
        </r>
        <r>
          <rPr>
            <sz val="8"/>
            <color indexed="81"/>
            <rFont val="Tahoma"/>
            <family val="2"/>
          </rPr>
          <t xml:space="preserve">
</t>
        </r>
      </text>
    </comment>
    <comment ref="V22" authorId="0" shapeId="0" xr:uid="{00000000-0006-0000-36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3700-000001000000}">
      <text>
        <r>
          <rPr>
            <b/>
            <sz val="8"/>
            <color indexed="81"/>
            <rFont val="Tahoma"/>
            <family val="2"/>
          </rPr>
          <t>From ALISE:
Part I, Item 2, Fall</t>
        </r>
        <r>
          <rPr>
            <sz val="8"/>
            <color indexed="81"/>
            <rFont val="Tahoma"/>
            <family val="2"/>
          </rPr>
          <t xml:space="preserve">
</t>
        </r>
      </text>
    </comment>
    <comment ref="C20" authorId="0" shapeId="0" xr:uid="{00000000-0006-0000-3700-000002000000}">
      <text>
        <r>
          <rPr>
            <b/>
            <sz val="8"/>
            <color rgb="FF000000"/>
            <rFont val="Tahoma"/>
            <family val="2"/>
          </rPr>
          <t xml:space="preserve">From ALISE:
</t>
        </r>
        <r>
          <rPr>
            <b/>
            <sz val="8"/>
            <color rgb="FF000000"/>
            <rFont val="Tahoma"/>
            <family val="2"/>
          </rPr>
          <t>Part I, Item 3, Fall</t>
        </r>
        <r>
          <rPr>
            <sz val="8"/>
            <color rgb="FF000000"/>
            <rFont val="Tahoma"/>
            <family val="2"/>
          </rPr>
          <t xml:space="preserve">
</t>
        </r>
      </text>
    </comment>
    <comment ref="I20" authorId="0" shapeId="0" xr:uid="{00000000-0006-0000-3700-000003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Full-time,
</t>
        </r>
        <r>
          <rPr>
            <b/>
            <sz val="8"/>
            <color rgb="FF000000"/>
            <rFont val="Tahoma"/>
            <family val="2"/>
          </rPr>
          <t>ALA only</t>
        </r>
        <r>
          <rPr>
            <sz val="8"/>
            <color rgb="FF000000"/>
            <rFont val="Tahoma"/>
            <family val="2"/>
          </rPr>
          <t xml:space="preserve">
</t>
        </r>
      </text>
    </comment>
    <comment ref="J20" authorId="0" shapeId="0" xr:uid="{00000000-0006-0000-3700-000004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No. Part-time,
</t>
        </r>
        <r>
          <rPr>
            <b/>
            <sz val="8"/>
            <color rgb="FF000000"/>
            <rFont val="Tahoma"/>
            <family val="2"/>
          </rPr>
          <t>ALA only</t>
        </r>
        <r>
          <rPr>
            <sz val="8"/>
            <color rgb="FF000000"/>
            <rFont val="Tahoma"/>
            <family val="2"/>
          </rPr>
          <t xml:space="preserve">
</t>
        </r>
      </text>
    </comment>
    <comment ref="L20" authorId="0" shapeId="0" xr:uid="{00000000-0006-0000-37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37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37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37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3700-000009000000}">
      <text>
        <r>
          <rPr>
            <b/>
            <sz val="8"/>
            <color rgb="FF000000"/>
            <rFont val="Tahoma"/>
            <family val="2"/>
          </rPr>
          <t xml:space="preserve">From ALISE:
</t>
        </r>
        <r>
          <rPr>
            <b/>
            <sz val="8"/>
            <color rgb="FF000000"/>
            <rFont val="Tahoma"/>
            <family val="2"/>
          </rPr>
          <t>Part II, Table II-3, Total all other programs</t>
        </r>
        <r>
          <rPr>
            <sz val="8"/>
            <color rgb="FF000000"/>
            <rFont val="Tahoma"/>
            <family val="2"/>
          </rPr>
          <t xml:space="preserve">
</t>
        </r>
      </text>
    </comment>
    <comment ref="S20" authorId="0" shapeId="0" xr:uid="{00000000-0006-0000-3700-00000A000000}">
      <text>
        <r>
          <rPr>
            <b/>
            <sz val="8"/>
            <color indexed="81"/>
            <rFont val="Tahoma"/>
            <family val="2"/>
          </rPr>
          <t>From ALISE:
Part IV, Line 59</t>
        </r>
        <r>
          <rPr>
            <sz val="8"/>
            <color indexed="81"/>
            <rFont val="Tahoma"/>
            <family val="2"/>
          </rPr>
          <t xml:space="preserve">
</t>
        </r>
      </text>
    </comment>
    <comment ref="U20" authorId="0" shapeId="0" xr:uid="{00000000-0006-0000-3700-00000B000000}">
      <text>
        <r>
          <rPr>
            <b/>
            <sz val="8"/>
            <color indexed="81"/>
            <rFont val="Tahoma"/>
            <family val="2"/>
          </rPr>
          <t>From ALISE:
Part IV, Line 60</t>
        </r>
        <r>
          <rPr>
            <sz val="8"/>
            <color indexed="81"/>
            <rFont val="Tahoma"/>
            <family val="2"/>
          </rPr>
          <t xml:space="preserve">
</t>
        </r>
      </text>
    </comment>
    <comment ref="V20" authorId="0" shapeId="0" xr:uid="{00000000-0006-0000-37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700-00000D000000}">
      <text>
        <r>
          <rPr>
            <b/>
            <sz val="8"/>
            <color indexed="81"/>
            <rFont val="Tahoma"/>
            <family val="2"/>
          </rPr>
          <t>From ALISE:
Part I, Item 2, Fall</t>
        </r>
        <r>
          <rPr>
            <sz val="8"/>
            <color indexed="81"/>
            <rFont val="Tahoma"/>
            <family val="2"/>
          </rPr>
          <t xml:space="preserve">
</t>
        </r>
      </text>
    </comment>
    <comment ref="C22" authorId="0" shapeId="0" xr:uid="{00000000-0006-0000-3700-00000E000000}">
      <text>
        <r>
          <rPr>
            <b/>
            <sz val="8"/>
            <color indexed="81"/>
            <rFont val="Tahoma"/>
            <family val="2"/>
          </rPr>
          <t>From ALISE:
Part I, Item 3, Fall</t>
        </r>
        <r>
          <rPr>
            <sz val="8"/>
            <color indexed="81"/>
            <rFont val="Tahoma"/>
            <family val="2"/>
          </rPr>
          <t xml:space="preserve">
</t>
        </r>
      </text>
    </comment>
    <comment ref="I22" authorId="0" shapeId="0" xr:uid="{00000000-0006-0000-3700-00000F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Full-time,
</t>
        </r>
        <r>
          <rPr>
            <b/>
            <sz val="8"/>
            <color rgb="FF000000"/>
            <rFont val="Tahoma"/>
            <family val="2"/>
          </rPr>
          <t>ALA only</t>
        </r>
        <r>
          <rPr>
            <sz val="8"/>
            <color rgb="FF000000"/>
            <rFont val="Tahoma"/>
            <family val="2"/>
          </rPr>
          <t xml:space="preserve">
</t>
        </r>
      </text>
    </comment>
    <comment ref="J22" authorId="0" shapeId="0" xr:uid="{00000000-0006-0000-3700-000010000000}">
      <text>
        <r>
          <rPr>
            <b/>
            <sz val="8"/>
            <color rgb="FF000000"/>
            <rFont val="Tahoma"/>
            <family val="2"/>
          </rPr>
          <t xml:space="preserve">From ALISE:
</t>
        </r>
        <r>
          <rPr>
            <b/>
            <sz val="8"/>
            <color rgb="FF000000"/>
            <rFont val="Tahoma"/>
            <family val="2"/>
          </rPr>
          <t xml:space="preserve">Part II, Table II-1,
</t>
        </r>
        <r>
          <rPr>
            <b/>
            <sz val="8"/>
            <color rgb="FF000000"/>
            <rFont val="Tahoma"/>
            <family val="2"/>
          </rPr>
          <t xml:space="preserve">Total No. Part-time,
</t>
        </r>
        <r>
          <rPr>
            <b/>
            <sz val="8"/>
            <color rgb="FF000000"/>
            <rFont val="Tahoma"/>
            <family val="2"/>
          </rPr>
          <t>ALA only</t>
        </r>
        <r>
          <rPr>
            <sz val="8"/>
            <color rgb="FF000000"/>
            <rFont val="Tahoma"/>
            <family val="2"/>
          </rPr>
          <t xml:space="preserve">
</t>
        </r>
      </text>
    </comment>
    <comment ref="L22" authorId="0" shapeId="0" xr:uid="{00000000-0006-0000-37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7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7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7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37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700-000016000000}">
      <text>
        <r>
          <rPr>
            <b/>
            <sz val="8"/>
            <color indexed="81"/>
            <rFont val="Tahoma"/>
            <family val="2"/>
          </rPr>
          <t>From ALISE:
Part IV, Line 59</t>
        </r>
        <r>
          <rPr>
            <sz val="8"/>
            <color indexed="81"/>
            <rFont val="Tahoma"/>
            <family val="2"/>
          </rPr>
          <t xml:space="preserve">
</t>
        </r>
      </text>
    </comment>
    <comment ref="U22" authorId="0" shapeId="0" xr:uid="{00000000-0006-0000-3700-000017000000}">
      <text>
        <r>
          <rPr>
            <b/>
            <sz val="8"/>
            <color rgb="FF000000"/>
            <rFont val="Tahoma"/>
            <family val="2"/>
          </rPr>
          <t xml:space="preserve">From ALISE:
</t>
        </r>
        <r>
          <rPr>
            <b/>
            <sz val="8"/>
            <color rgb="FF000000"/>
            <rFont val="Tahoma"/>
            <family val="2"/>
          </rPr>
          <t>Part IV, Line 60</t>
        </r>
        <r>
          <rPr>
            <sz val="8"/>
            <color rgb="FF000000"/>
            <rFont val="Tahoma"/>
            <family val="2"/>
          </rPr>
          <t xml:space="preserve">
</t>
        </r>
      </text>
    </comment>
    <comment ref="V22" authorId="0" shapeId="0" xr:uid="{00000000-0006-0000-37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3800-000001000000}">
      <text>
        <r>
          <rPr>
            <b/>
            <sz val="8"/>
            <color indexed="81"/>
            <rFont val="Tahoma"/>
            <family val="2"/>
          </rPr>
          <t>From ALISE:
Part I, Item 2, Fall</t>
        </r>
        <r>
          <rPr>
            <sz val="8"/>
            <color indexed="81"/>
            <rFont val="Tahoma"/>
            <family val="2"/>
          </rPr>
          <t xml:space="preserve">
</t>
        </r>
      </text>
    </comment>
    <comment ref="C20" authorId="0" shapeId="0" xr:uid="{00000000-0006-0000-3800-000002000000}">
      <text>
        <r>
          <rPr>
            <b/>
            <sz val="8"/>
            <color indexed="81"/>
            <rFont val="Tahoma"/>
            <family val="2"/>
          </rPr>
          <t>From ALISE:
Part I, Item 3, Fall</t>
        </r>
        <r>
          <rPr>
            <sz val="8"/>
            <color indexed="81"/>
            <rFont val="Tahoma"/>
            <family val="2"/>
          </rPr>
          <t xml:space="preserve">
</t>
        </r>
      </text>
    </comment>
    <comment ref="I20" authorId="0" shapeId="0" xr:uid="{00000000-0006-0000-38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38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38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38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38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38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38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3800-00000A000000}">
      <text>
        <r>
          <rPr>
            <b/>
            <sz val="8"/>
            <color indexed="81"/>
            <rFont val="Tahoma"/>
            <family val="2"/>
          </rPr>
          <t>From ALISE:
Part IV, Line 59</t>
        </r>
        <r>
          <rPr>
            <sz val="8"/>
            <color indexed="81"/>
            <rFont val="Tahoma"/>
            <family val="2"/>
          </rPr>
          <t xml:space="preserve">
</t>
        </r>
      </text>
    </comment>
    <comment ref="U20" authorId="0" shapeId="0" xr:uid="{00000000-0006-0000-3800-00000B000000}">
      <text>
        <r>
          <rPr>
            <b/>
            <sz val="8"/>
            <color indexed="81"/>
            <rFont val="Tahoma"/>
            <family val="2"/>
          </rPr>
          <t>From ALISE:
Part IV, Line 60</t>
        </r>
        <r>
          <rPr>
            <sz val="8"/>
            <color indexed="81"/>
            <rFont val="Tahoma"/>
            <family val="2"/>
          </rPr>
          <t xml:space="preserve">
</t>
        </r>
      </text>
    </comment>
    <comment ref="V20" authorId="0" shapeId="0" xr:uid="{00000000-0006-0000-38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800-00000D000000}">
      <text>
        <r>
          <rPr>
            <b/>
            <sz val="8"/>
            <color indexed="81"/>
            <rFont val="Tahoma"/>
            <family val="2"/>
          </rPr>
          <t>From ALISE:
Part I, Item 2, Fall</t>
        </r>
        <r>
          <rPr>
            <sz val="8"/>
            <color indexed="81"/>
            <rFont val="Tahoma"/>
            <family val="2"/>
          </rPr>
          <t xml:space="preserve">
</t>
        </r>
      </text>
    </comment>
    <comment ref="C22" authorId="0" shapeId="0" xr:uid="{00000000-0006-0000-3800-00000E000000}">
      <text>
        <r>
          <rPr>
            <b/>
            <sz val="8"/>
            <color indexed="81"/>
            <rFont val="Tahoma"/>
            <family val="2"/>
          </rPr>
          <t>From ALISE:
Part I, Item 3, Fall</t>
        </r>
        <r>
          <rPr>
            <sz val="8"/>
            <color indexed="81"/>
            <rFont val="Tahoma"/>
            <family val="2"/>
          </rPr>
          <t xml:space="preserve">
</t>
        </r>
      </text>
    </comment>
    <comment ref="I22" authorId="0" shapeId="0" xr:uid="{00000000-0006-0000-38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8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8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8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8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8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38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800-000016000000}">
      <text>
        <r>
          <rPr>
            <b/>
            <sz val="8"/>
            <color indexed="81"/>
            <rFont val="Tahoma"/>
            <family val="2"/>
          </rPr>
          <t>From ALISE:
Part IV, Line 59</t>
        </r>
        <r>
          <rPr>
            <sz val="8"/>
            <color indexed="81"/>
            <rFont val="Tahoma"/>
            <family val="2"/>
          </rPr>
          <t xml:space="preserve">
</t>
        </r>
      </text>
    </comment>
    <comment ref="U22" authorId="0" shapeId="0" xr:uid="{00000000-0006-0000-3800-000017000000}">
      <text>
        <r>
          <rPr>
            <b/>
            <sz val="8"/>
            <color indexed="81"/>
            <rFont val="Tahoma"/>
            <family val="2"/>
          </rPr>
          <t>From ALISE:
Part IV, Line 60</t>
        </r>
        <r>
          <rPr>
            <sz val="8"/>
            <color indexed="81"/>
            <rFont val="Tahoma"/>
            <family val="2"/>
          </rPr>
          <t xml:space="preserve">
</t>
        </r>
      </text>
    </comment>
    <comment ref="V22" authorId="0" shapeId="0" xr:uid="{00000000-0006-0000-38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3900-000001000000}">
      <text>
        <r>
          <rPr>
            <b/>
            <sz val="8"/>
            <color indexed="81"/>
            <rFont val="Tahoma"/>
            <family val="2"/>
          </rPr>
          <t>From ALISE:
Part I, Item 2, Fall</t>
        </r>
        <r>
          <rPr>
            <sz val="8"/>
            <color indexed="81"/>
            <rFont val="Tahoma"/>
            <family val="2"/>
          </rPr>
          <t xml:space="preserve">
</t>
        </r>
      </text>
    </comment>
    <comment ref="C20" authorId="0" shapeId="0" xr:uid="{00000000-0006-0000-3900-000002000000}">
      <text>
        <r>
          <rPr>
            <b/>
            <sz val="8"/>
            <color indexed="81"/>
            <rFont val="Tahoma"/>
            <family val="2"/>
          </rPr>
          <t>From ALISE:
Part I, Item 3, Fall</t>
        </r>
        <r>
          <rPr>
            <sz val="8"/>
            <color indexed="81"/>
            <rFont val="Tahoma"/>
            <family val="2"/>
          </rPr>
          <t xml:space="preserve">
</t>
        </r>
      </text>
    </comment>
    <comment ref="I20" authorId="0" shapeId="0" xr:uid="{00000000-0006-0000-39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39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3900-000005000000}">
      <text>
        <r>
          <rPr>
            <b/>
            <sz val="8"/>
            <color indexed="81"/>
            <rFont val="Tahoma"/>
            <family val="2"/>
          </rPr>
          <t xml:space="preserve">From ALISE:
Part II, Table II-1,
Total Part-Time FTE, ALA only
</t>
        </r>
        <r>
          <rPr>
            <sz val="8"/>
            <color indexed="81"/>
            <rFont val="Tahoma"/>
            <family val="2"/>
          </rPr>
          <t xml:space="preserve">
</t>
        </r>
      </text>
    </comment>
    <comment ref="O20" authorId="0" shapeId="0" xr:uid="{00000000-0006-0000-3900-000006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3900-000007000000}">
      <text>
        <r>
          <rPr>
            <b/>
            <sz val="8"/>
            <color indexed="81"/>
            <rFont val="Tahoma"/>
            <family val="2"/>
          </rPr>
          <t>From ALISE:
Part II, Table II-3, Total, ALA only</t>
        </r>
        <r>
          <rPr>
            <sz val="8"/>
            <color indexed="81"/>
            <rFont val="Tahoma"/>
            <family val="2"/>
          </rPr>
          <t xml:space="preserve">
</t>
        </r>
      </text>
    </comment>
    <comment ref="R20" authorId="0" shapeId="0" xr:uid="{00000000-0006-0000-3900-000008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3900-000009000000}">
      <text>
        <r>
          <rPr>
            <b/>
            <sz val="8"/>
            <color indexed="81"/>
            <rFont val="Tahoma"/>
            <family val="2"/>
          </rPr>
          <t>From ALISE:
Part IV, Line 59</t>
        </r>
        <r>
          <rPr>
            <sz val="8"/>
            <color indexed="81"/>
            <rFont val="Tahoma"/>
            <family val="2"/>
          </rPr>
          <t xml:space="preserve">
</t>
        </r>
      </text>
    </comment>
    <comment ref="U20" authorId="0" shapeId="0" xr:uid="{00000000-0006-0000-3900-00000A000000}">
      <text>
        <r>
          <rPr>
            <b/>
            <sz val="8"/>
            <color indexed="81"/>
            <rFont val="Tahoma"/>
            <family val="2"/>
          </rPr>
          <t>From ALISE:
Part IV, Line 60</t>
        </r>
        <r>
          <rPr>
            <sz val="8"/>
            <color indexed="81"/>
            <rFont val="Tahoma"/>
            <family val="2"/>
          </rPr>
          <t xml:space="preserve">
</t>
        </r>
      </text>
    </comment>
    <comment ref="V20" authorId="0" shapeId="0" xr:uid="{00000000-0006-0000-3900-00000B000000}">
      <text>
        <r>
          <rPr>
            <b/>
            <sz val="8"/>
            <color indexed="81"/>
            <rFont val="Tahoma"/>
            <family val="2"/>
          </rPr>
          <t>From ALISE:
Part IV, Total lines 61, 62, 63, 64, and 68</t>
        </r>
        <r>
          <rPr>
            <sz val="8"/>
            <color indexed="81"/>
            <rFont val="Tahoma"/>
            <family val="2"/>
          </rPr>
          <t xml:space="preserve">
</t>
        </r>
      </text>
    </comment>
    <comment ref="B21" authorId="0" shapeId="0" xr:uid="{00000000-0006-0000-3900-00000C000000}">
      <text>
        <r>
          <rPr>
            <b/>
            <sz val="8"/>
            <color indexed="81"/>
            <rFont val="Tahoma"/>
            <family val="2"/>
          </rPr>
          <t>From ALISE:
Part I, Item 2, Fall</t>
        </r>
        <r>
          <rPr>
            <sz val="8"/>
            <color indexed="81"/>
            <rFont val="Tahoma"/>
            <family val="2"/>
          </rPr>
          <t xml:space="preserve">
</t>
        </r>
      </text>
    </comment>
    <comment ref="C21" authorId="0" shapeId="0" xr:uid="{00000000-0006-0000-3900-00000D000000}">
      <text>
        <r>
          <rPr>
            <b/>
            <sz val="8"/>
            <color indexed="81"/>
            <rFont val="Tahoma"/>
            <family val="2"/>
          </rPr>
          <t>From ALISE:
Part I, Item 3, Fall</t>
        </r>
        <r>
          <rPr>
            <sz val="8"/>
            <color indexed="81"/>
            <rFont val="Tahoma"/>
            <family val="2"/>
          </rPr>
          <t xml:space="preserve">
</t>
        </r>
      </text>
    </comment>
    <comment ref="I21" authorId="0" shapeId="0" xr:uid="{00000000-0006-0000-3900-00000E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900-00000F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900-000010000000}">
      <text>
        <r>
          <rPr>
            <b/>
            <sz val="8"/>
            <color indexed="81"/>
            <rFont val="Tahoma"/>
            <family val="2"/>
          </rPr>
          <t xml:space="preserve">From ALISE:
Part II, Table II-1,
Total Part-Time FTE, ALA only
</t>
        </r>
        <r>
          <rPr>
            <sz val="8"/>
            <color indexed="81"/>
            <rFont val="Tahoma"/>
            <family val="2"/>
          </rPr>
          <t xml:space="preserve">
</t>
        </r>
      </text>
    </comment>
    <comment ref="O21" authorId="0" shapeId="0" xr:uid="{00000000-0006-0000-3900-000011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900-000012000000}">
      <text>
        <r>
          <rPr>
            <b/>
            <sz val="8"/>
            <color indexed="81"/>
            <rFont val="Tahoma"/>
            <family val="2"/>
          </rPr>
          <t>From ALISE:
Part II, Table II-3, Total, ALA only</t>
        </r>
        <r>
          <rPr>
            <sz val="8"/>
            <color indexed="81"/>
            <rFont val="Tahoma"/>
            <family val="2"/>
          </rPr>
          <t xml:space="preserve">
</t>
        </r>
      </text>
    </comment>
    <comment ref="R21" authorId="0" shapeId="0" xr:uid="{00000000-0006-0000-3900-000013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900-000014000000}">
      <text>
        <r>
          <rPr>
            <b/>
            <sz val="8"/>
            <color indexed="81"/>
            <rFont val="Tahoma"/>
            <family val="2"/>
          </rPr>
          <t>From ALISE:
Part IV, Line 59</t>
        </r>
        <r>
          <rPr>
            <sz val="8"/>
            <color indexed="81"/>
            <rFont val="Tahoma"/>
            <family val="2"/>
          </rPr>
          <t xml:space="preserve">
</t>
        </r>
      </text>
    </comment>
    <comment ref="U21" authorId="0" shapeId="0" xr:uid="{00000000-0006-0000-3900-000015000000}">
      <text>
        <r>
          <rPr>
            <b/>
            <sz val="8"/>
            <color indexed="81"/>
            <rFont val="Tahoma"/>
            <family val="2"/>
          </rPr>
          <t>From ALISE:
Part IV, Line 60</t>
        </r>
        <r>
          <rPr>
            <sz val="8"/>
            <color indexed="81"/>
            <rFont val="Tahoma"/>
            <family val="2"/>
          </rPr>
          <t xml:space="preserve">
</t>
        </r>
      </text>
    </comment>
    <comment ref="V21" authorId="0" shapeId="0" xr:uid="{00000000-0006-0000-3900-000016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900-000017000000}">
      <text>
        <r>
          <rPr>
            <b/>
            <sz val="8"/>
            <color indexed="81"/>
            <rFont val="Tahoma"/>
            <family val="2"/>
          </rPr>
          <t>From ALISE:
Part I, Item 2, Fall</t>
        </r>
        <r>
          <rPr>
            <sz val="8"/>
            <color indexed="81"/>
            <rFont val="Tahoma"/>
            <family val="2"/>
          </rPr>
          <t xml:space="preserve">
</t>
        </r>
      </text>
    </comment>
    <comment ref="C22" authorId="0" shapeId="0" xr:uid="{00000000-0006-0000-3900-000018000000}">
      <text>
        <r>
          <rPr>
            <b/>
            <sz val="8"/>
            <color indexed="81"/>
            <rFont val="Tahoma"/>
            <family val="2"/>
          </rPr>
          <t>From ALISE:
Part I, Item 3, Fall</t>
        </r>
        <r>
          <rPr>
            <sz val="8"/>
            <color indexed="81"/>
            <rFont val="Tahoma"/>
            <family val="2"/>
          </rPr>
          <t xml:space="preserve">
</t>
        </r>
      </text>
    </comment>
    <comment ref="I22" authorId="0" shapeId="0" xr:uid="{00000000-0006-0000-3900-000019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900-00001A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900-00001B000000}">
      <text>
        <r>
          <rPr>
            <b/>
            <sz val="8"/>
            <color indexed="81"/>
            <rFont val="Tahoma"/>
            <family val="2"/>
          </rPr>
          <t xml:space="preserve">From ALISE:
Part II, Table II-1,
Total Part-Time FTE, ALA only
</t>
        </r>
        <r>
          <rPr>
            <sz val="8"/>
            <color indexed="81"/>
            <rFont val="Tahoma"/>
            <family val="2"/>
          </rPr>
          <t xml:space="preserve">
</t>
        </r>
      </text>
    </comment>
    <comment ref="O22" authorId="0" shapeId="0" xr:uid="{00000000-0006-0000-3900-00001C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900-00001D000000}">
      <text>
        <r>
          <rPr>
            <b/>
            <sz val="8"/>
            <color indexed="81"/>
            <rFont val="Tahoma"/>
            <family val="2"/>
          </rPr>
          <t>From ALISE:
Part II, Table II-3, Total, ALA only</t>
        </r>
        <r>
          <rPr>
            <sz val="8"/>
            <color indexed="81"/>
            <rFont val="Tahoma"/>
            <family val="2"/>
          </rPr>
          <t xml:space="preserve">
</t>
        </r>
      </text>
    </comment>
    <comment ref="R22" authorId="0" shapeId="0" xr:uid="{00000000-0006-0000-3900-00001E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900-00001F000000}">
      <text>
        <r>
          <rPr>
            <b/>
            <sz val="8"/>
            <color indexed="81"/>
            <rFont val="Tahoma"/>
            <family val="2"/>
          </rPr>
          <t>From ALISE:
Part IV, Line 59</t>
        </r>
        <r>
          <rPr>
            <sz val="8"/>
            <color indexed="81"/>
            <rFont val="Tahoma"/>
            <family val="2"/>
          </rPr>
          <t xml:space="preserve">
</t>
        </r>
      </text>
    </comment>
    <comment ref="U22" authorId="0" shapeId="0" xr:uid="{00000000-0006-0000-3900-000020000000}">
      <text>
        <r>
          <rPr>
            <b/>
            <sz val="8"/>
            <color indexed="81"/>
            <rFont val="Tahoma"/>
            <family val="2"/>
          </rPr>
          <t>From ALISE:
Part IV, Line 60</t>
        </r>
        <r>
          <rPr>
            <sz val="8"/>
            <color indexed="81"/>
            <rFont val="Tahoma"/>
            <family val="2"/>
          </rPr>
          <t xml:space="preserve">
</t>
        </r>
      </text>
    </comment>
    <comment ref="V22" authorId="0" shapeId="0" xr:uid="{00000000-0006-0000-3900-000021000000}">
      <text>
        <r>
          <rPr>
            <b/>
            <sz val="8"/>
            <color indexed="81"/>
            <rFont val="Tahoma"/>
            <family val="2"/>
          </rPr>
          <t>From ALISE:
Part IV, Total lines 61, 62, 63, 64, and 68</t>
        </r>
        <r>
          <rPr>
            <sz val="8"/>
            <color indexed="81"/>
            <rFont val="Tahoma"/>
            <family val="2"/>
          </rPr>
          <t xml:space="preserve">
</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3B00-000001000000}">
      <text>
        <r>
          <rPr>
            <b/>
            <sz val="8"/>
            <color indexed="81"/>
            <rFont val="Tahoma"/>
            <family val="2"/>
          </rPr>
          <t>From ALISE:
Part I, Item 2, Fall</t>
        </r>
        <r>
          <rPr>
            <sz val="8"/>
            <color indexed="81"/>
            <rFont val="Tahoma"/>
            <family val="2"/>
          </rPr>
          <t xml:space="preserve">
</t>
        </r>
      </text>
    </comment>
    <comment ref="C20" authorId="0" shapeId="0" xr:uid="{00000000-0006-0000-3B00-000002000000}">
      <text>
        <r>
          <rPr>
            <b/>
            <sz val="8"/>
            <color indexed="81"/>
            <rFont val="Tahoma"/>
            <family val="2"/>
          </rPr>
          <t>From ALISE:
Part I, Item 3, Fall</t>
        </r>
        <r>
          <rPr>
            <sz val="8"/>
            <color indexed="81"/>
            <rFont val="Tahoma"/>
            <family val="2"/>
          </rPr>
          <t xml:space="preserve">
</t>
        </r>
      </text>
    </comment>
    <comment ref="I20" authorId="0" shapeId="0" xr:uid="{00000000-0006-0000-3B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3B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3B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3B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3B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3B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3B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3B00-00000A000000}">
      <text>
        <r>
          <rPr>
            <b/>
            <sz val="8"/>
            <color indexed="81"/>
            <rFont val="Tahoma"/>
            <family val="2"/>
          </rPr>
          <t>From ALISE:
Part IV, Line 59</t>
        </r>
        <r>
          <rPr>
            <sz val="8"/>
            <color indexed="81"/>
            <rFont val="Tahoma"/>
            <family val="2"/>
          </rPr>
          <t xml:space="preserve">
</t>
        </r>
      </text>
    </comment>
    <comment ref="U20" authorId="0" shapeId="0" xr:uid="{00000000-0006-0000-3B00-00000B000000}">
      <text>
        <r>
          <rPr>
            <b/>
            <sz val="8"/>
            <color indexed="81"/>
            <rFont val="Tahoma"/>
            <family val="2"/>
          </rPr>
          <t>From ALISE:
Part IV, Line 60</t>
        </r>
        <r>
          <rPr>
            <sz val="8"/>
            <color indexed="81"/>
            <rFont val="Tahoma"/>
            <family val="2"/>
          </rPr>
          <t xml:space="preserve">
</t>
        </r>
      </text>
    </comment>
    <comment ref="V20" authorId="0" shapeId="0" xr:uid="{00000000-0006-0000-3B00-00000C000000}">
      <text>
        <r>
          <rPr>
            <b/>
            <sz val="8"/>
            <color indexed="81"/>
            <rFont val="Tahoma"/>
            <family val="2"/>
          </rPr>
          <t>From ALISE:
Part IV, Total lines 61, 62, 63, 64, and 68</t>
        </r>
        <r>
          <rPr>
            <sz val="8"/>
            <color indexed="81"/>
            <rFont val="Tahoma"/>
            <family val="2"/>
          </rPr>
          <t xml:space="preserve">
</t>
        </r>
      </text>
    </comment>
    <comment ref="B21" authorId="0" shapeId="0" xr:uid="{00000000-0006-0000-3B00-00000D000000}">
      <text>
        <r>
          <rPr>
            <b/>
            <sz val="8"/>
            <color indexed="81"/>
            <rFont val="Tahoma"/>
            <family val="2"/>
          </rPr>
          <t>From ALISE:
Part I, Item 2, Fall</t>
        </r>
        <r>
          <rPr>
            <sz val="8"/>
            <color indexed="81"/>
            <rFont val="Tahoma"/>
            <family val="2"/>
          </rPr>
          <t xml:space="preserve">
</t>
        </r>
      </text>
    </comment>
    <comment ref="C21" authorId="0" shapeId="0" xr:uid="{00000000-0006-0000-3B00-00000E000000}">
      <text>
        <r>
          <rPr>
            <b/>
            <sz val="8"/>
            <color indexed="81"/>
            <rFont val="Tahoma"/>
            <family val="2"/>
          </rPr>
          <t>From ALISE:
Part I, Item 3, Fall</t>
        </r>
        <r>
          <rPr>
            <sz val="8"/>
            <color indexed="81"/>
            <rFont val="Tahoma"/>
            <family val="2"/>
          </rPr>
          <t xml:space="preserve">
</t>
        </r>
      </text>
    </comment>
    <comment ref="I21" authorId="0" shapeId="0" xr:uid="{00000000-0006-0000-3B00-00000F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3B00-000010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3B00-000011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3B00-000012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3B00-000013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3B00-000014000000}">
      <text>
        <r>
          <rPr>
            <b/>
            <sz val="8"/>
            <color indexed="81"/>
            <rFont val="Tahoma"/>
            <family val="2"/>
          </rPr>
          <t>From ALISE:
Part II, Table II-3, Total, ALA only</t>
        </r>
        <r>
          <rPr>
            <sz val="8"/>
            <color indexed="81"/>
            <rFont val="Tahoma"/>
            <family val="2"/>
          </rPr>
          <t xml:space="preserve">
</t>
        </r>
      </text>
    </comment>
    <comment ref="R21" authorId="0" shapeId="0" xr:uid="{00000000-0006-0000-3B00-000015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3B00-000016000000}">
      <text>
        <r>
          <rPr>
            <b/>
            <sz val="8"/>
            <color indexed="81"/>
            <rFont val="Tahoma"/>
            <family val="2"/>
          </rPr>
          <t>From ALISE:
Part IV, Line 59</t>
        </r>
        <r>
          <rPr>
            <sz val="8"/>
            <color indexed="81"/>
            <rFont val="Tahoma"/>
            <family val="2"/>
          </rPr>
          <t xml:space="preserve">
</t>
        </r>
      </text>
    </comment>
    <comment ref="U21" authorId="0" shapeId="0" xr:uid="{00000000-0006-0000-3B00-000017000000}">
      <text>
        <r>
          <rPr>
            <b/>
            <sz val="8"/>
            <color indexed="81"/>
            <rFont val="Tahoma"/>
            <family val="2"/>
          </rPr>
          <t>From ALISE:
Part IV, Line 60</t>
        </r>
        <r>
          <rPr>
            <sz val="8"/>
            <color indexed="81"/>
            <rFont val="Tahoma"/>
            <family val="2"/>
          </rPr>
          <t xml:space="preserve">
</t>
        </r>
      </text>
    </comment>
    <comment ref="V21" authorId="0" shapeId="0" xr:uid="{00000000-0006-0000-3B00-000018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B00-000019000000}">
      <text>
        <r>
          <rPr>
            <b/>
            <sz val="8"/>
            <color indexed="81"/>
            <rFont val="Tahoma"/>
            <family val="2"/>
          </rPr>
          <t>From ALISE:
Part I, Item 2, Fall</t>
        </r>
        <r>
          <rPr>
            <sz val="8"/>
            <color indexed="81"/>
            <rFont val="Tahoma"/>
            <family val="2"/>
          </rPr>
          <t xml:space="preserve">
</t>
        </r>
      </text>
    </comment>
    <comment ref="C22" authorId="0" shapeId="0" xr:uid="{00000000-0006-0000-3B00-00001A000000}">
      <text>
        <r>
          <rPr>
            <b/>
            <sz val="8"/>
            <color indexed="81"/>
            <rFont val="Tahoma"/>
            <family val="2"/>
          </rPr>
          <t>From ALISE:
Part I, Item 3, Fall</t>
        </r>
        <r>
          <rPr>
            <sz val="8"/>
            <color indexed="81"/>
            <rFont val="Tahoma"/>
            <family val="2"/>
          </rPr>
          <t xml:space="preserve">
</t>
        </r>
      </text>
    </comment>
    <comment ref="I22" authorId="0" shapeId="0" xr:uid="{00000000-0006-0000-3B00-00001B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B00-00001C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B00-00001D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B00-00001E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B00-00001F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B00-000020000000}">
      <text>
        <r>
          <rPr>
            <b/>
            <sz val="8"/>
            <color indexed="81"/>
            <rFont val="Tahoma"/>
            <family val="2"/>
          </rPr>
          <t>From ALISE:
Part II, Table II-3, Total, ALA only</t>
        </r>
        <r>
          <rPr>
            <sz val="8"/>
            <color indexed="81"/>
            <rFont val="Tahoma"/>
            <family val="2"/>
          </rPr>
          <t xml:space="preserve">
</t>
        </r>
      </text>
    </comment>
    <comment ref="R22" authorId="0" shapeId="0" xr:uid="{00000000-0006-0000-3B00-000021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B00-000022000000}">
      <text>
        <r>
          <rPr>
            <b/>
            <sz val="8"/>
            <color indexed="81"/>
            <rFont val="Tahoma"/>
            <family val="2"/>
          </rPr>
          <t>From ALISE:
Part IV, Line 59</t>
        </r>
        <r>
          <rPr>
            <sz val="8"/>
            <color indexed="81"/>
            <rFont val="Tahoma"/>
            <family val="2"/>
          </rPr>
          <t xml:space="preserve">
</t>
        </r>
      </text>
    </comment>
    <comment ref="U22" authorId="0" shapeId="0" xr:uid="{00000000-0006-0000-3B00-000023000000}">
      <text>
        <r>
          <rPr>
            <b/>
            <sz val="8"/>
            <color indexed="81"/>
            <rFont val="Tahoma"/>
            <family val="2"/>
          </rPr>
          <t>From ALISE:
Part IV, Line 60</t>
        </r>
        <r>
          <rPr>
            <sz val="8"/>
            <color indexed="81"/>
            <rFont val="Tahoma"/>
            <family val="2"/>
          </rPr>
          <t xml:space="preserve">
</t>
        </r>
      </text>
    </comment>
    <comment ref="V22" authorId="0" shapeId="0" xr:uid="{00000000-0006-0000-3B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kobrien</author>
  </authors>
  <commentList>
    <comment ref="L21" authorId="0" shapeId="0" xr:uid="{00000000-0006-0000-3C00-000001000000}">
      <text>
        <r>
          <rPr>
            <b/>
            <sz val="8"/>
            <color indexed="81"/>
            <rFont val="Tahoma"/>
            <family val="2"/>
          </rPr>
          <t>kobrien:</t>
        </r>
        <r>
          <rPr>
            <sz val="8"/>
            <color indexed="81"/>
            <rFont val="Tahoma"/>
            <family val="2"/>
          </rPr>
          <t xml:space="preserve">
Corrected per program. Letter of 2/10/04.</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3D00-000001000000}">
      <text>
        <r>
          <rPr>
            <b/>
            <sz val="8"/>
            <color indexed="81"/>
            <rFont val="Tahoma"/>
            <family val="2"/>
          </rPr>
          <t>From ALISE:
Part I, Item 2, Fall</t>
        </r>
        <r>
          <rPr>
            <sz val="8"/>
            <color indexed="81"/>
            <rFont val="Tahoma"/>
            <family val="2"/>
          </rPr>
          <t xml:space="preserve">
</t>
        </r>
      </text>
    </comment>
    <comment ref="C20" authorId="0" shapeId="0" xr:uid="{00000000-0006-0000-3D00-000002000000}">
      <text>
        <r>
          <rPr>
            <b/>
            <sz val="8"/>
            <color indexed="81"/>
            <rFont val="Tahoma"/>
            <family val="2"/>
          </rPr>
          <t>From ALISE:
Part I, Item 3, Fall</t>
        </r>
        <r>
          <rPr>
            <sz val="8"/>
            <color indexed="81"/>
            <rFont val="Tahoma"/>
            <family val="2"/>
          </rPr>
          <t xml:space="preserve">
</t>
        </r>
      </text>
    </comment>
    <comment ref="I20" authorId="0" shapeId="0" xr:uid="{00000000-0006-0000-3D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3D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3D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3D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3D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3D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3D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3D00-00000A000000}">
      <text>
        <r>
          <rPr>
            <b/>
            <sz val="8"/>
            <color indexed="81"/>
            <rFont val="Tahoma"/>
            <family val="2"/>
          </rPr>
          <t>From ALISE:
Part IV, Line 59</t>
        </r>
        <r>
          <rPr>
            <sz val="8"/>
            <color indexed="81"/>
            <rFont val="Tahoma"/>
            <family val="2"/>
          </rPr>
          <t xml:space="preserve">
</t>
        </r>
      </text>
    </comment>
    <comment ref="U20" authorId="0" shapeId="0" xr:uid="{00000000-0006-0000-3D00-00000B000000}">
      <text>
        <r>
          <rPr>
            <b/>
            <sz val="8"/>
            <color indexed="81"/>
            <rFont val="Tahoma"/>
            <family val="2"/>
          </rPr>
          <t>From ALISE:
Part IV, Line 60</t>
        </r>
        <r>
          <rPr>
            <sz val="8"/>
            <color indexed="81"/>
            <rFont val="Tahoma"/>
            <family val="2"/>
          </rPr>
          <t xml:space="preserve">
</t>
        </r>
      </text>
    </comment>
    <comment ref="V20" authorId="0" shapeId="0" xr:uid="{00000000-0006-0000-3D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D00-00000D000000}">
      <text>
        <r>
          <rPr>
            <b/>
            <sz val="8"/>
            <color indexed="81"/>
            <rFont val="Tahoma"/>
            <family val="2"/>
          </rPr>
          <t>From ALISE:
Part I, Item 2, Fall</t>
        </r>
        <r>
          <rPr>
            <sz val="8"/>
            <color indexed="81"/>
            <rFont val="Tahoma"/>
            <family val="2"/>
          </rPr>
          <t xml:space="preserve">
</t>
        </r>
      </text>
    </comment>
    <comment ref="C22" authorId="0" shapeId="0" xr:uid="{00000000-0006-0000-3D00-00000E000000}">
      <text>
        <r>
          <rPr>
            <b/>
            <sz val="8"/>
            <color indexed="81"/>
            <rFont val="Tahoma"/>
            <family val="2"/>
          </rPr>
          <t>From ALISE:
Part I, Item 3, Fall</t>
        </r>
        <r>
          <rPr>
            <sz val="8"/>
            <color indexed="81"/>
            <rFont val="Tahoma"/>
            <family val="2"/>
          </rPr>
          <t xml:space="preserve">
</t>
        </r>
      </text>
    </comment>
    <comment ref="I22" authorId="0" shapeId="0" xr:uid="{00000000-0006-0000-3D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D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D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D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D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D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3D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D00-000016000000}">
      <text>
        <r>
          <rPr>
            <b/>
            <sz val="8"/>
            <color indexed="81"/>
            <rFont val="Tahoma"/>
            <family val="2"/>
          </rPr>
          <t>From ALISE:
Part IV, Line 59</t>
        </r>
        <r>
          <rPr>
            <sz val="8"/>
            <color indexed="81"/>
            <rFont val="Tahoma"/>
            <family val="2"/>
          </rPr>
          <t xml:space="preserve">
</t>
        </r>
      </text>
    </comment>
    <comment ref="U22" authorId="0" shapeId="0" xr:uid="{00000000-0006-0000-3D00-000017000000}">
      <text>
        <r>
          <rPr>
            <b/>
            <sz val="8"/>
            <color indexed="81"/>
            <rFont val="Tahoma"/>
            <family val="2"/>
          </rPr>
          <t>From ALISE:
Part IV, Line 60</t>
        </r>
        <r>
          <rPr>
            <sz val="8"/>
            <color indexed="81"/>
            <rFont val="Tahoma"/>
            <family val="2"/>
          </rPr>
          <t xml:space="preserve">
</t>
        </r>
      </text>
    </comment>
    <comment ref="V22" authorId="0" shapeId="0" xr:uid="{00000000-0006-0000-3D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3E00-000001000000}">
      <text>
        <r>
          <rPr>
            <b/>
            <sz val="8"/>
            <color indexed="81"/>
            <rFont val="Tahoma"/>
            <family val="2"/>
          </rPr>
          <t>From ALISE:
Part I, Item 2, Fall</t>
        </r>
        <r>
          <rPr>
            <sz val="8"/>
            <color indexed="81"/>
            <rFont val="Tahoma"/>
            <family val="2"/>
          </rPr>
          <t xml:space="preserve">
</t>
        </r>
      </text>
    </comment>
    <comment ref="C20" authorId="0" shapeId="0" xr:uid="{00000000-0006-0000-3E00-000002000000}">
      <text>
        <r>
          <rPr>
            <b/>
            <sz val="8"/>
            <color indexed="81"/>
            <rFont val="Tahoma"/>
            <family val="2"/>
          </rPr>
          <t>From ALISE:
Part I, Item 3, Fall</t>
        </r>
        <r>
          <rPr>
            <sz val="8"/>
            <color indexed="81"/>
            <rFont val="Tahoma"/>
            <family val="2"/>
          </rPr>
          <t xml:space="preserve">
</t>
        </r>
      </text>
    </comment>
    <comment ref="I20" authorId="0" shapeId="0" xr:uid="{00000000-0006-0000-3E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3E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3E00-000005000000}">
      <text>
        <r>
          <rPr>
            <b/>
            <sz val="8"/>
            <color indexed="81"/>
            <rFont val="Tahoma"/>
            <family val="2"/>
          </rPr>
          <t xml:space="preserve">From ALISE:
Part II, Table II-1,
Total Part-Time FTE, ALA only
</t>
        </r>
        <r>
          <rPr>
            <sz val="8"/>
            <color indexed="81"/>
            <rFont val="Tahoma"/>
            <family val="2"/>
          </rPr>
          <t xml:space="preserve">
</t>
        </r>
      </text>
    </comment>
    <comment ref="O20" authorId="0" shapeId="0" xr:uid="{00000000-0006-0000-3E00-000006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3E00-000007000000}">
      <text>
        <r>
          <rPr>
            <b/>
            <sz val="8"/>
            <color indexed="81"/>
            <rFont val="Tahoma"/>
            <family val="2"/>
          </rPr>
          <t>From ALISE:
Part II, Table II-3, Total, ALA only</t>
        </r>
        <r>
          <rPr>
            <sz val="8"/>
            <color indexed="81"/>
            <rFont val="Tahoma"/>
            <family val="2"/>
          </rPr>
          <t xml:space="preserve">
</t>
        </r>
      </text>
    </comment>
    <comment ref="R20" authorId="0" shapeId="0" xr:uid="{00000000-0006-0000-3E00-000008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3E00-000009000000}">
      <text>
        <r>
          <rPr>
            <b/>
            <sz val="8"/>
            <color indexed="81"/>
            <rFont val="Tahoma"/>
            <family val="2"/>
          </rPr>
          <t>From ALISE:
Part IV, Line 59</t>
        </r>
        <r>
          <rPr>
            <sz val="8"/>
            <color indexed="81"/>
            <rFont val="Tahoma"/>
            <family val="2"/>
          </rPr>
          <t xml:space="preserve">
</t>
        </r>
      </text>
    </comment>
    <comment ref="U20" authorId="0" shapeId="0" xr:uid="{00000000-0006-0000-3E00-00000A000000}">
      <text>
        <r>
          <rPr>
            <b/>
            <sz val="8"/>
            <color indexed="81"/>
            <rFont val="Tahoma"/>
            <family val="2"/>
          </rPr>
          <t>From ALISE:
Part IV, Line 60</t>
        </r>
        <r>
          <rPr>
            <sz val="8"/>
            <color indexed="81"/>
            <rFont val="Tahoma"/>
            <family val="2"/>
          </rPr>
          <t xml:space="preserve">
</t>
        </r>
      </text>
    </comment>
    <comment ref="V20" authorId="0" shapeId="0" xr:uid="{00000000-0006-0000-3E00-00000B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3E00-00000C000000}">
      <text>
        <r>
          <rPr>
            <b/>
            <sz val="8"/>
            <color indexed="81"/>
            <rFont val="Tahoma"/>
            <family val="2"/>
          </rPr>
          <t>From ALISE:
Part I, Item 2, Fall</t>
        </r>
        <r>
          <rPr>
            <sz val="8"/>
            <color indexed="81"/>
            <rFont val="Tahoma"/>
            <family val="2"/>
          </rPr>
          <t xml:space="preserve">
</t>
        </r>
      </text>
    </comment>
    <comment ref="C22" authorId="0" shapeId="0" xr:uid="{00000000-0006-0000-3E00-00000D000000}">
      <text>
        <r>
          <rPr>
            <b/>
            <sz val="8"/>
            <color indexed="81"/>
            <rFont val="Tahoma"/>
            <family val="2"/>
          </rPr>
          <t>From ALISE:
Part I, Item 3, Fall</t>
        </r>
        <r>
          <rPr>
            <sz val="8"/>
            <color indexed="81"/>
            <rFont val="Tahoma"/>
            <family val="2"/>
          </rPr>
          <t xml:space="preserve">
</t>
        </r>
      </text>
    </comment>
    <comment ref="I22" authorId="0" shapeId="0" xr:uid="{00000000-0006-0000-3E00-00000E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E00-00000F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E00-000010000000}">
      <text>
        <r>
          <rPr>
            <b/>
            <sz val="8"/>
            <color indexed="81"/>
            <rFont val="Tahoma"/>
            <family val="2"/>
          </rPr>
          <t xml:space="preserve">From ALISE:
Part II, Table II-1,
Total Part-Time FTE, ALA only
</t>
        </r>
        <r>
          <rPr>
            <sz val="8"/>
            <color indexed="81"/>
            <rFont val="Tahoma"/>
            <family val="2"/>
          </rPr>
          <t xml:space="preserve">
</t>
        </r>
      </text>
    </comment>
    <comment ref="O22" authorId="0" shapeId="0" xr:uid="{00000000-0006-0000-3E00-000011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E00-000012000000}">
      <text>
        <r>
          <rPr>
            <b/>
            <sz val="8"/>
            <color indexed="81"/>
            <rFont val="Tahoma"/>
            <family val="2"/>
          </rPr>
          <t>From ALISE:
Part II, Table II-3, Total, ALA only</t>
        </r>
        <r>
          <rPr>
            <sz val="8"/>
            <color indexed="81"/>
            <rFont val="Tahoma"/>
            <family val="2"/>
          </rPr>
          <t xml:space="preserve">
</t>
        </r>
      </text>
    </comment>
    <comment ref="R22" authorId="0" shapeId="0" xr:uid="{00000000-0006-0000-3E00-000013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E00-000014000000}">
      <text>
        <r>
          <rPr>
            <b/>
            <sz val="8"/>
            <color indexed="81"/>
            <rFont val="Tahoma"/>
            <family val="2"/>
          </rPr>
          <t>From ALISE:
Part IV, Line 59</t>
        </r>
        <r>
          <rPr>
            <sz val="8"/>
            <color indexed="81"/>
            <rFont val="Tahoma"/>
            <family val="2"/>
          </rPr>
          <t xml:space="preserve">
</t>
        </r>
      </text>
    </comment>
    <comment ref="U22" authorId="0" shapeId="0" xr:uid="{00000000-0006-0000-3E00-000015000000}">
      <text>
        <r>
          <rPr>
            <b/>
            <sz val="8"/>
            <color indexed="81"/>
            <rFont val="Tahoma"/>
            <family val="2"/>
          </rPr>
          <t>From ALISE:
Part IV, Line 60</t>
        </r>
        <r>
          <rPr>
            <sz val="8"/>
            <color indexed="81"/>
            <rFont val="Tahoma"/>
            <family val="2"/>
          </rPr>
          <t xml:space="preserve">
</t>
        </r>
      </text>
    </comment>
    <comment ref="V22" authorId="0" shapeId="0" xr:uid="{00000000-0006-0000-3E00-000016000000}">
      <text>
        <r>
          <rPr>
            <b/>
            <sz val="8"/>
            <color indexed="81"/>
            <rFont val="Tahoma"/>
            <family val="2"/>
          </rPr>
          <t>From ALISE:
Part IV, Total lines 61, 62, 63, 64, and 68</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tc={873B1E28-64F9-428E-BA50-68031C155029}</author>
    <author>Karen O'Brien</author>
  </authors>
  <commentList>
    <comment ref="V5" authorId="0" shapeId="0" xr:uid="{873B1E28-64F9-428E-BA50-68031C155029}">
      <text>
        <t>[Threaded comment]
Your version of Excel allows you to read this threaded comment; however, any edits to it will get removed if the file is opened in a newer version of Excel. Learn more: https://go.microsoft.com/fwlink/?linkid=870924
Comment:
    Income Parent Institution includes: federal grants/contracts, CE activities, endowment/trust funds, state/provincial grants/contracts.  We moved grants that were reported in previous years in cell V3 to U3 based on this instruction, and we do not currently have any industry funded grants or other sources of funding that fall outside the scope of Income Parent Institution. Therefore, in cell V3 we reported zero.</t>
      </text>
    </comment>
    <comment ref="B17" authorId="1" shapeId="0" xr:uid="{00000000-0006-0000-0500-000001000000}">
      <text>
        <r>
          <rPr>
            <b/>
            <sz val="8"/>
            <color indexed="81"/>
            <rFont val="Tahoma"/>
            <family val="2"/>
          </rPr>
          <t>From ALISE:
Part I, Item 2, Fall</t>
        </r>
        <r>
          <rPr>
            <sz val="8"/>
            <color indexed="81"/>
            <rFont val="Tahoma"/>
            <family val="2"/>
          </rPr>
          <t xml:space="preserve">
</t>
        </r>
      </text>
    </comment>
    <comment ref="C17" authorId="1" shapeId="0" xr:uid="{00000000-0006-0000-0500-000002000000}">
      <text>
        <r>
          <rPr>
            <b/>
            <sz val="8"/>
            <color indexed="81"/>
            <rFont val="Tahoma"/>
            <family val="2"/>
          </rPr>
          <t>From ALISE:
Part I, Item 3, Fall</t>
        </r>
        <r>
          <rPr>
            <sz val="8"/>
            <color indexed="81"/>
            <rFont val="Tahoma"/>
            <family val="2"/>
          </rPr>
          <t xml:space="preserve">
</t>
        </r>
      </text>
    </comment>
    <comment ref="I17" authorId="1" shapeId="0" xr:uid="{00000000-0006-0000-0500-000003000000}">
      <text>
        <r>
          <rPr>
            <b/>
            <sz val="8"/>
            <color indexed="81"/>
            <rFont val="Tahoma"/>
            <family val="2"/>
          </rPr>
          <t>From ALISE:
Part II, Table II-1,
Total  Full-time,
ALA only</t>
        </r>
        <r>
          <rPr>
            <sz val="8"/>
            <color indexed="81"/>
            <rFont val="Tahoma"/>
            <family val="2"/>
          </rPr>
          <t xml:space="preserve">
</t>
        </r>
      </text>
    </comment>
    <comment ref="J17" authorId="1" shapeId="0" xr:uid="{00000000-0006-0000-0500-000004000000}">
      <text>
        <r>
          <rPr>
            <b/>
            <sz val="8"/>
            <color indexed="81"/>
            <rFont val="Tahoma"/>
            <family val="2"/>
          </rPr>
          <t>From ALISE:
Part II, Table II-1,
Total No. Part-time,
ALA only</t>
        </r>
        <r>
          <rPr>
            <sz val="8"/>
            <color indexed="81"/>
            <rFont val="Tahoma"/>
            <family val="2"/>
          </rPr>
          <t xml:space="preserve">
</t>
        </r>
      </text>
    </comment>
    <comment ref="L17" authorId="1" shapeId="0" xr:uid="{00000000-0006-0000-0500-000005000000}">
      <text>
        <r>
          <rPr>
            <b/>
            <sz val="8"/>
            <color indexed="81"/>
            <rFont val="Tahoma"/>
            <family val="2"/>
          </rPr>
          <t xml:space="preserve">From ALISE:
Part II, Table II-1,
Total Part-Time FTE, ALA only
</t>
        </r>
        <r>
          <rPr>
            <sz val="8"/>
            <color indexed="81"/>
            <rFont val="Tahoma"/>
            <family val="2"/>
          </rPr>
          <t xml:space="preserve">
</t>
        </r>
      </text>
    </comment>
    <comment ref="N17" authorId="1" shapeId="0" xr:uid="{00000000-0006-0000-0500-000006000000}">
      <text>
        <r>
          <rPr>
            <b/>
            <sz val="8"/>
            <color indexed="81"/>
            <rFont val="Tahoma"/>
            <family val="2"/>
          </rPr>
          <t xml:space="preserve">From ALISE:
Part II, Table 11-4, Total AI, AP, B, and H,
ALA only  </t>
        </r>
        <r>
          <rPr>
            <sz val="8"/>
            <color indexed="81"/>
            <rFont val="Tahoma"/>
            <family val="2"/>
          </rPr>
          <t xml:space="preserve">
</t>
        </r>
      </text>
    </comment>
    <comment ref="O17" authorId="1" shapeId="0" xr:uid="{00000000-0006-0000-0500-000007000000}">
      <text>
        <r>
          <rPr>
            <b/>
            <sz val="8"/>
            <color indexed="81"/>
            <rFont val="Tahoma"/>
            <family val="2"/>
          </rPr>
          <t>From ALISE:
Part II, Table II-1, Total FTE, all programs</t>
        </r>
        <r>
          <rPr>
            <sz val="8"/>
            <color indexed="81"/>
            <rFont val="Tahoma"/>
            <family val="2"/>
          </rPr>
          <t xml:space="preserve">
</t>
        </r>
      </text>
    </comment>
    <comment ref="Q17" authorId="1" shapeId="0" xr:uid="{00000000-0006-0000-0500-000008000000}">
      <text>
        <r>
          <rPr>
            <b/>
            <sz val="8"/>
            <color indexed="81"/>
            <rFont val="Tahoma"/>
            <family val="2"/>
          </rPr>
          <t>From ALISE:
Part II, Table II-3, Total, ALA only</t>
        </r>
        <r>
          <rPr>
            <sz val="8"/>
            <color indexed="81"/>
            <rFont val="Tahoma"/>
            <family val="2"/>
          </rPr>
          <t xml:space="preserve">
</t>
        </r>
      </text>
    </comment>
    <comment ref="R17" authorId="1" shapeId="0" xr:uid="{00000000-0006-0000-0500-000009000000}">
      <text>
        <r>
          <rPr>
            <b/>
            <sz val="8"/>
            <color indexed="81"/>
            <rFont val="Tahoma"/>
            <family val="2"/>
          </rPr>
          <t>From ALISE:
Part II, Table II-3, Total all other programs</t>
        </r>
        <r>
          <rPr>
            <sz val="8"/>
            <color indexed="81"/>
            <rFont val="Tahoma"/>
            <family val="2"/>
          </rPr>
          <t xml:space="preserve">
</t>
        </r>
      </text>
    </comment>
    <comment ref="S17" authorId="1" shapeId="0" xr:uid="{00000000-0006-0000-0500-00000A000000}">
      <text>
        <r>
          <rPr>
            <b/>
            <sz val="8"/>
            <color indexed="81"/>
            <rFont val="Tahoma"/>
            <family val="2"/>
          </rPr>
          <t>From ALISE:
Part IV, Line 59</t>
        </r>
        <r>
          <rPr>
            <sz val="8"/>
            <color indexed="81"/>
            <rFont val="Tahoma"/>
            <family val="2"/>
          </rPr>
          <t xml:space="preserve">
</t>
        </r>
      </text>
    </comment>
    <comment ref="U17" authorId="1" shapeId="0" xr:uid="{00000000-0006-0000-0500-00000B000000}">
      <text>
        <r>
          <rPr>
            <b/>
            <sz val="8"/>
            <color indexed="81"/>
            <rFont val="Tahoma"/>
            <family val="2"/>
          </rPr>
          <t>From ALISE:
Part IV, Line 60</t>
        </r>
        <r>
          <rPr>
            <sz val="8"/>
            <color indexed="81"/>
            <rFont val="Tahoma"/>
            <family val="2"/>
          </rPr>
          <t xml:space="preserve">
</t>
        </r>
      </text>
    </comment>
    <comment ref="V17" authorId="1" shapeId="0" xr:uid="{00000000-0006-0000-0500-00000C000000}">
      <text>
        <r>
          <rPr>
            <b/>
            <sz val="8"/>
            <color indexed="81"/>
            <rFont val="Tahoma"/>
            <family val="2"/>
          </rPr>
          <t>From ALISE:
Part IV, Total lines 61, 62, 63, 64, and 68</t>
        </r>
        <r>
          <rPr>
            <sz val="8"/>
            <color indexed="81"/>
            <rFont val="Tahoma"/>
            <family val="2"/>
          </rPr>
          <t xml:space="preserve">
</t>
        </r>
      </text>
    </comment>
    <comment ref="B18" authorId="1" shapeId="0" xr:uid="{00000000-0006-0000-0500-00000D000000}">
      <text>
        <r>
          <rPr>
            <b/>
            <sz val="8"/>
            <color indexed="81"/>
            <rFont val="Tahoma"/>
            <family val="2"/>
          </rPr>
          <t>From ALISE:
Part I, Item 2, Fall</t>
        </r>
        <r>
          <rPr>
            <sz val="8"/>
            <color indexed="81"/>
            <rFont val="Tahoma"/>
            <family val="2"/>
          </rPr>
          <t xml:space="preserve">
</t>
        </r>
      </text>
    </comment>
    <comment ref="C18" authorId="1" shapeId="0" xr:uid="{00000000-0006-0000-0500-00000E000000}">
      <text>
        <r>
          <rPr>
            <b/>
            <sz val="8"/>
            <color indexed="81"/>
            <rFont val="Tahoma"/>
            <family val="2"/>
          </rPr>
          <t>From ALISE:
Part I, Item 3, Fall</t>
        </r>
        <r>
          <rPr>
            <sz val="8"/>
            <color indexed="81"/>
            <rFont val="Tahoma"/>
            <family val="2"/>
          </rPr>
          <t xml:space="preserve">
</t>
        </r>
      </text>
    </comment>
    <comment ref="I18" authorId="1" shapeId="0" xr:uid="{00000000-0006-0000-0500-00000F000000}">
      <text>
        <r>
          <rPr>
            <b/>
            <sz val="8"/>
            <color indexed="81"/>
            <rFont val="Tahoma"/>
            <family val="2"/>
          </rPr>
          <t>From ALISE:
Part II, Table II-1,
Total  Full-time,
ALA only</t>
        </r>
        <r>
          <rPr>
            <sz val="8"/>
            <color indexed="81"/>
            <rFont val="Tahoma"/>
            <family val="2"/>
          </rPr>
          <t xml:space="preserve">
</t>
        </r>
      </text>
    </comment>
    <comment ref="J18" authorId="1" shapeId="0" xr:uid="{00000000-0006-0000-0500-000010000000}">
      <text>
        <r>
          <rPr>
            <b/>
            <sz val="8"/>
            <color indexed="81"/>
            <rFont val="Tahoma"/>
            <family val="2"/>
          </rPr>
          <t>From ALISE:
Part II, Table II-1,
Total No. Part-time,
ALA only</t>
        </r>
        <r>
          <rPr>
            <sz val="8"/>
            <color indexed="81"/>
            <rFont val="Tahoma"/>
            <family val="2"/>
          </rPr>
          <t xml:space="preserve">
</t>
        </r>
      </text>
    </comment>
    <comment ref="L18" authorId="1" shapeId="0" xr:uid="{00000000-0006-0000-0500-000011000000}">
      <text>
        <r>
          <rPr>
            <b/>
            <sz val="8"/>
            <color indexed="81"/>
            <rFont val="Tahoma"/>
            <family val="2"/>
          </rPr>
          <t xml:space="preserve">From ALISE:
Part II, Table II-1,
Total Part-Time FTE, ALA only
</t>
        </r>
        <r>
          <rPr>
            <sz val="8"/>
            <color indexed="81"/>
            <rFont val="Tahoma"/>
            <family val="2"/>
          </rPr>
          <t xml:space="preserve">
</t>
        </r>
      </text>
    </comment>
    <comment ref="N18" authorId="1" shapeId="0" xr:uid="{00000000-0006-0000-0500-000012000000}">
      <text>
        <r>
          <rPr>
            <b/>
            <sz val="8"/>
            <color indexed="81"/>
            <rFont val="Tahoma"/>
            <family val="2"/>
          </rPr>
          <t xml:space="preserve">From ALISE:
Part II, Table 11-4, Total AI, AP, B, and H,
ALA only  </t>
        </r>
        <r>
          <rPr>
            <sz val="8"/>
            <color indexed="81"/>
            <rFont val="Tahoma"/>
            <family val="2"/>
          </rPr>
          <t xml:space="preserve">
</t>
        </r>
      </text>
    </comment>
    <comment ref="O18" authorId="1" shapeId="0" xr:uid="{00000000-0006-0000-0500-000013000000}">
      <text>
        <r>
          <rPr>
            <b/>
            <sz val="8"/>
            <color indexed="81"/>
            <rFont val="Tahoma"/>
            <family val="2"/>
          </rPr>
          <t>From ALISE:
Part II, Table II-1, Total FTE, all programs</t>
        </r>
        <r>
          <rPr>
            <sz val="8"/>
            <color indexed="81"/>
            <rFont val="Tahoma"/>
            <family val="2"/>
          </rPr>
          <t xml:space="preserve">
</t>
        </r>
      </text>
    </comment>
    <comment ref="Q18" authorId="1" shapeId="0" xr:uid="{00000000-0006-0000-0500-000014000000}">
      <text>
        <r>
          <rPr>
            <b/>
            <sz val="8"/>
            <color indexed="81"/>
            <rFont val="Tahoma"/>
            <family val="2"/>
          </rPr>
          <t>From ALISE:
Part II, Table II-3, Total, ALA only</t>
        </r>
        <r>
          <rPr>
            <sz val="8"/>
            <color indexed="81"/>
            <rFont val="Tahoma"/>
            <family val="2"/>
          </rPr>
          <t xml:space="preserve">
</t>
        </r>
      </text>
    </comment>
    <comment ref="R18" authorId="1" shapeId="0" xr:uid="{00000000-0006-0000-0500-000015000000}">
      <text>
        <r>
          <rPr>
            <b/>
            <sz val="8"/>
            <color indexed="81"/>
            <rFont val="Tahoma"/>
            <family val="2"/>
          </rPr>
          <t>From ALISE:
Part II, Table II-3, Total all other programs</t>
        </r>
        <r>
          <rPr>
            <sz val="8"/>
            <color indexed="81"/>
            <rFont val="Tahoma"/>
            <family val="2"/>
          </rPr>
          <t xml:space="preserve">
</t>
        </r>
      </text>
    </comment>
    <comment ref="S18" authorId="1" shapeId="0" xr:uid="{00000000-0006-0000-0500-000016000000}">
      <text>
        <r>
          <rPr>
            <b/>
            <sz val="8"/>
            <color indexed="81"/>
            <rFont val="Tahoma"/>
            <family val="2"/>
          </rPr>
          <t>From ALISE:
Part IV, Line 59</t>
        </r>
        <r>
          <rPr>
            <sz val="8"/>
            <color indexed="81"/>
            <rFont val="Tahoma"/>
            <family val="2"/>
          </rPr>
          <t xml:space="preserve">
</t>
        </r>
      </text>
    </comment>
    <comment ref="U18" authorId="1" shapeId="0" xr:uid="{00000000-0006-0000-0500-000017000000}">
      <text>
        <r>
          <rPr>
            <b/>
            <sz val="8"/>
            <color indexed="81"/>
            <rFont val="Tahoma"/>
            <family val="2"/>
          </rPr>
          <t>From ALISE:
Part IV, Line 60</t>
        </r>
        <r>
          <rPr>
            <sz val="8"/>
            <color indexed="81"/>
            <rFont val="Tahoma"/>
            <family val="2"/>
          </rPr>
          <t xml:space="preserve">
</t>
        </r>
      </text>
    </comment>
    <comment ref="V18" authorId="1" shapeId="0" xr:uid="{00000000-0006-0000-0500-000018000000}">
      <text>
        <r>
          <rPr>
            <b/>
            <sz val="8"/>
            <color indexed="81"/>
            <rFont val="Tahoma"/>
            <family val="2"/>
          </rPr>
          <t>From ALISE:
Part IV, Total lines 61, 62, 63, 64, and 68</t>
        </r>
        <r>
          <rPr>
            <sz val="8"/>
            <color indexed="81"/>
            <rFont val="Tahoma"/>
            <family val="2"/>
          </rPr>
          <t xml:space="preserve">
</t>
        </r>
      </text>
    </comment>
    <comment ref="N19" authorId="1" shapeId="0" xr:uid="{00000000-0006-0000-0500-000019000000}">
      <text>
        <r>
          <rPr>
            <b/>
            <sz val="8"/>
            <color indexed="81"/>
            <rFont val="Tahoma"/>
            <family val="2"/>
          </rPr>
          <t xml:space="preserve">From ALISE:
Part II, Table 11-4, Total AI, AP, B, and H,
ALA only  </t>
        </r>
        <r>
          <rPr>
            <sz val="8"/>
            <color indexed="81"/>
            <rFont val="Tahoma"/>
            <family val="2"/>
          </rPr>
          <t xml:space="preserve">
</t>
        </r>
      </text>
    </comment>
    <comment ref="B20" authorId="1" shapeId="0" xr:uid="{00000000-0006-0000-0500-00001A000000}">
      <text>
        <r>
          <rPr>
            <b/>
            <sz val="8"/>
            <color indexed="81"/>
            <rFont val="Tahoma"/>
            <family val="2"/>
          </rPr>
          <t>From ALISE:
Part I, Item 2, Fall</t>
        </r>
        <r>
          <rPr>
            <sz val="8"/>
            <color indexed="81"/>
            <rFont val="Tahoma"/>
            <family val="2"/>
          </rPr>
          <t xml:space="preserve">
</t>
        </r>
      </text>
    </comment>
    <comment ref="C20" authorId="1" shapeId="0" xr:uid="{00000000-0006-0000-0500-00001B000000}">
      <text>
        <r>
          <rPr>
            <b/>
            <sz val="8"/>
            <color indexed="81"/>
            <rFont val="Tahoma"/>
            <family val="2"/>
          </rPr>
          <t>From ALISE:
Part I, Item 3, Fall</t>
        </r>
        <r>
          <rPr>
            <sz val="8"/>
            <color indexed="81"/>
            <rFont val="Tahoma"/>
            <family val="2"/>
          </rPr>
          <t xml:space="preserve">
</t>
        </r>
      </text>
    </comment>
    <comment ref="I20" authorId="1" shapeId="0" xr:uid="{00000000-0006-0000-0500-00001C000000}">
      <text>
        <r>
          <rPr>
            <b/>
            <sz val="8"/>
            <color indexed="81"/>
            <rFont val="Tahoma"/>
            <family val="2"/>
          </rPr>
          <t>From ALISE:
Part II, Table II-1,
Total  Full-time,
ALA only</t>
        </r>
        <r>
          <rPr>
            <sz val="8"/>
            <color indexed="81"/>
            <rFont val="Tahoma"/>
            <family val="2"/>
          </rPr>
          <t xml:space="preserve">
</t>
        </r>
      </text>
    </comment>
    <comment ref="J20" authorId="1" shapeId="0" xr:uid="{00000000-0006-0000-0500-00001D000000}">
      <text>
        <r>
          <rPr>
            <b/>
            <sz val="8"/>
            <color indexed="81"/>
            <rFont val="Tahoma"/>
            <family val="2"/>
          </rPr>
          <t>From ALISE:
Part II, Table II-1,
Total No. Part-time,
ALA only</t>
        </r>
        <r>
          <rPr>
            <sz val="8"/>
            <color indexed="81"/>
            <rFont val="Tahoma"/>
            <family val="2"/>
          </rPr>
          <t xml:space="preserve">
</t>
        </r>
      </text>
    </comment>
    <comment ref="L20" authorId="1" shapeId="0" xr:uid="{00000000-0006-0000-0500-00001E000000}">
      <text>
        <r>
          <rPr>
            <b/>
            <sz val="8"/>
            <color indexed="81"/>
            <rFont val="Tahoma"/>
            <family val="2"/>
          </rPr>
          <t xml:space="preserve">From ALISE:
Part II, Table II-1,
Total Part-Time FTE, ALA only
</t>
        </r>
        <r>
          <rPr>
            <sz val="8"/>
            <color indexed="81"/>
            <rFont val="Tahoma"/>
            <family val="2"/>
          </rPr>
          <t xml:space="preserve">
</t>
        </r>
      </text>
    </comment>
    <comment ref="N20" authorId="1" shapeId="0" xr:uid="{00000000-0006-0000-0500-00001F000000}">
      <text>
        <r>
          <rPr>
            <b/>
            <sz val="8"/>
            <color indexed="81"/>
            <rFont val="Tahoma"/>
            <family val="2"/>
          </rPr>
          <t xml:space="preserve">From ALISE:
Part II, Table 11-4, Total AI, AP, B, and H,
ALA only  </t>
        </r>
        <r>
          <rPr>
            <sz val="8"/>
            <color indexed="81"/>
            <rFont val="Tahoma"/>
            <family val="2"/>
          </rPr>
          <t xml:space="preserve">
</t>
        </r>
      </text>
    </comment>
    <comment ref="O20" authorId="1" shapeId="0" xr:uid="{00000000-0006-0000-0500-000020000000}">
      <text>
        <r>
          <rPr>
            <b/>
            <sz val="8"/>
            <color indexed="81"/>
            <rFont val="Tahoma"/>
            <family val="2"/>
          </rPr>
          <t>From ALISE:
Part II, Table II-1, Total FTE, all programs</t>
        </r>
        <r>
          <rPr>
            <sz val="8"/>
            <color indexed="81"/>
            <rFont val="Tahoma"/>
            <family val="2"/>
          </rPr>
          <t xml:space="preserve">
</t>
        </r>
      </text>
    </comment>
    <comment ref="Q20" authorId="1" shapeId="0" xr:uid="{00000000-0006-0000-0500-000021000000}">
      <text>
        <r>
          <rPr>
            <b/>
            <sz val="8"/>
            <color indexed="81"/>
            <rFont val="Tahoma"/>
            <family val="2"/>
          </rPr>
          <t>From ALISE:
Part II, Table II-3, Total, ALA only</t>
        </r>
        <r>
          <rPr>
            <sz val="8"/>
            <color indexed="81"/>
            <rFont val="Tahoma"/>
            <family val="2"/>
          </rPr>
          <t xml:space="preserve">
</t>
        </r>
      </text>
    </comment>
    <comment ref="R20" authorId="1" shapeId="0" xr:uid="{00000000-0006-0000-0500-000022000000}">
      <text>
        <r>
          <rPr>
            <b/>
            <sz val="8"/>
            <color indexed="81"/>
            <rFont val="Tahoma"/>
            <family val="2"/>
          </rPr>
          <t>From ALISE:
Part II, Table II-3, Total all other programs</t>
        </r>
        <r>
          <rPr>
            <sz val="8"/>
            <color indexed="81"/>
            <rFont val="Tahoma"/>
            <family val="2"/>
          </rPr>
          <t xml:space="preserve">
</t>
        </r>
      </text>
    </comment>
    <comment ref="S20" authorId="1" shapeId="0" xr:uid="{00000000-0006-0000-0500-000023000000}">
      <text>
        <r>
          <rPr>
            <b/>
            <sz val="8"/>
            <color indexed="81"/>
            <rFont val="Tahoma"/>
            <family val="2"/>
          </rPr>
          <t>From ALISE:
Part IV, Line 59</t>
        </r>
        <r>
          <rPr>
            <sz val="8"/>
            <color indexed="81"/>
            <rFont val="Tahoma"/>
            <family val="2"/>
          </rPr>
          <t xml:space="preserve">
</t>
        </r>
      </text>
    </comment>
    <comment ref="U20" authorId="1" shapeId="0" xr:uid="{00000000-0006-0000-0500-000024000000}">
      <text>
        <r>
          <rPr>
            <b/>
            <sz val="8"/>
            <color indexed="81"/>
            <rFont val="Tahoma"/>
            <family val="2"/>
          </rPr>
          <t>From ALISE:
Part IV, Line 60</t>
        </r>
        <r>
          <rPr>
            <sz val="8"/>
            <color indexed="81"/>
            <rFont val="Tahoma"/>
            <family val="2"/>
          </rPr>
          <t xml:space="preserve">
</t>
        </r>
      </text>
    </comment>
    <comment ref="V20" authorId="1" shapeId="0" xr:uid="{00000000-0006-0000-0500-000025000000}">
      <text>
        <r>
          <rPr>
            <b/>
            <sz val="8"/>
            <color indexed="81"/>
            <rFont val="Tahoma"/>
            <family val="2"/>
          </rPr>
          <t>From ALISE:
Part IV, Total lines 61, 62, 63, 64, and 68</t>
        </r>
        <r>
          <rPr>
            <sz val="8"/>
            <color indexed="81"/>
            <rFont val="Tahoma"/>
            <family val="2"/>
          </rPr>
          <t xml:space="preserve">
</t>
        </r>
      </text>
    </comment>
    <comment ref="N21" authorId="1" shapeId="0" xr:uid="{00000000-0006-0000-0500-000026000000}">
      <text>
        <r>
          <rPr>
            <b/>
            <sz val="8"/>
            <color indexed="81"/>
            <rFont val="Tahoma"/>
            <family val="2"/>
          </rPr>
          <t xml:space="preserve">From ALISE:
Part II, Table 11-4, Total AI, AP, B, and H,
ALA only  </t>
        </r>
        <r>
          <rPr>
            <sz val="8"/>
            <color indexed="81"/>
            <rFont val="Tahoma"/>
            <family val="2"/>
          </rPr>
          <t xml:space="preserve">
</t>
        </r>
      </text>
    </comment>
    <comment ref="B22" authorId="1" shapeId="0" xr:uid="{00000000-0006-0000-0500-000027000000}">
      <text>
        <r>
          <rPr>
            <b/>
            <sz val="8"/>
            <color indexed="81"/>
            <rFont val="Tahoma"/>
            <family val="2"/>
          </rPr>
          <t>From ALISE:
Part I, Item 2, Fall</t>
        </r>
        <r>
          <rPr>
            <sz val="8"/>
            <color indexed="81"/>
            <rFont val="Tahoma"/>
            <family val="2"/>
          </rPr>
          <t xml:space="preserve">
</t>
        </r>
      </text>
    </comment>
    <comment ref="C22" authorId="1" shapeId="0" xr:uid="{00000000-0006-0000-0500-000028000000}">
      <text>
        <r>
          <rPr>
            <b/>
            <sz val="8"/>
            <color indexed="81"/>
            <rFont val="Tahoma"/>
            <family val="2"/>
          </rPr>
          <t>From ALISE:
Part I, Item 3, Fall</t>
        </r>
        <r>
          <rPr>
            <sz val="8"/>
            <color indexed="81"/>
            <rFont val="Tahoma"/>
            <family val="2"/>
          </rPr>
          <t xml:space="preserve">
</t>
        </r>
      </text>
    </comment>
    <comment ref="I22" authorId="1" shapeId="0" xr:uid="{00000000-0006-0000-0500-000029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0500-00002A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0500-00002B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0500-00002C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0500-00002D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0500-00002E000000}">
      <text>
        <r>
          <rPr>
            <b/>
            <sz val="8"/>
            <color indexed="81"/>
            <rFont val="Tahoma"/>
            <family val="2"/>
          </rPr>
          <t>From ALISE:
Part II, Table II-3, Total, ALA only</t>
        </r>
        <r>
          <rPr>
            <sz val="8"/>
            <color indexed="81"/>
            <rFont val="Tahoma"/>
            <family val="2"/>
          </rPr>
          <t xml:space="preserve">
</t>
        </r>
      </text>
    </comment>
    <comment ref="R22" authorId="1" shapeId="0" xr:uid="{00000000-0006-0000-0500-00002F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0500-000030000000}">
      <text>
        <r>
          <rPr>
            <b/>
            <sz val="8"/>
            <color indexed="81"/>
            <rFont val="Tahoma"/>
            <family val="2"/>
          </rPr>
          <t>From ALISE:
Part IV, Line 59</t>
        </r>
        <r>
          <rPr>
            <sz val="8"/>
            <color indexed="81"/>
            <rFont val="Tahoma"/>
            <family val="2"/>
          </rPr>
          <t xml:space="preserve">
</t>
        </r>
      </text>
    </comment>
    <comment ref="U22" authorId="1" shapeId="0" xr:uid="{00000000-0006-0000-0500-000031000000}">
      <text>
        <r>
          <rPr>
            <b/>
            <sz val="8"/>
            <color indexed="81"/>
            <rFont val="Tahoma"/>
            <family val="2"/>
          </rPr>
          <t>From ALISE:
Part IV, Line 60</t>
        </r>
        <r>
          <rPr>
            <sz val="8"/>
            <color indexed="81"/>
            <rFont val="Tahoma"/>
            <family val="2"/>
          </rPr>
          <t xml:space="preserve">
</t>
        </r>
      </text>
    </comment>
    <comment ref="V22" authorId="1" shapeId="0" xr:uid="{00000000-0006-0000-0500-000032000000}">
      <text>
        <r>
          <rPr>
            <b/>
            <sz val="8"/>
            <color indexed="81"/>
            <rFont val="Tahoma"/>
            <family val="2"/>
          </rPr>
          <t>From ALISE:
Part IV, Total lines 61, 62, 63, 64, and 68</t>
        </r>
        <r>
          <rPr>
            <sz val="8"/>
            <color indexed="81"/>
            <rFont val="Tahoma"/>
            <family val="2"/>
          </rPr>
          <t xml:space="preserve">
</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2" authorId="0" shapeId="0" xr:uid="{00000000-0006-0000-3F00-000001000000}">
      <text>
        <r>
          <rPr>
            <b/>
            <sz val="8"/>
            <color indexed="81"/>
            <rFont val="Tahoma"/>
            <family val="2"/>
          </rPr>
          <t>From ALISE:
Part I, Item 2, Fall</t>
        </r>
        <r>
          <rPr>
            <sz val="8"/>
            <color indexed="81"/>
            <rFont val="Tahoma"/>
            <family val="2"/>
          </rPr>
          <t xml:space="preserve">
</t>
        </r>
      </text>
    </comment>
    <comment ref="C22" authorId="0" shapeId="0" xr:uid="{00000000-0006-0000-3F00-000002000000}">
      <text>
        <r>
          <rPr>
            <b/>
            <sz val="8"/>
            <color indexed="81"/>
            <rFont val="Tahoma"/>
            <family val="2"/>
          </rPr>
          <t>From ALISE:
Part I, Item 3, Fall</t>
        </r>
        <r>
          <rPr>
            <sz val="8"/>
            <color indexed="81"/>
            <rFont val="Tahoma"/>
            <family val="2"/>
          </rPr>
          <t xml:space="preserve">
</t>
        </r>
      </text>
    </comment>
    <comment ref="I22" authorId="0" shapeId="0" xr:uid="{00000000-0006-0000-3F00-000003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3F00-000004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3F00-000005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3F00-000006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3F00-000007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3F00-000008000000}">
      <text>
        <r>
          <rPr>
            <b/>
            <sz val="8"/>
            <color indexed="81"/>
            <rFont val="Tahoma"/>
            <family val="2"/>
          </rPr>
          <t>From ALISE:
Part II, Table II-3, Total, ALA only</t>
        </r>
        <r>
          <rPr>
            <sz val="8"/>
            <color indexed="81"/>
            <rFont val="Tahoma"/>
            <family val="2"/>
          </rPr>
          <t xml:space="preserve">
</t>
        </r>
      </text>
    </comment>
    <comment ref="R22" authorId="0" shapeId="0" xr:uid="{00000000-0006-0000-3F00-000009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3F00-00000A000000}">
      <text>
        <r>
          <rPr>
            <b/>
            <sz val="8"/>
            <color indexed="81"/>
            <rFont val="Tahoma"/>
            <family val="2"/>
          </rPr>
          <t>From ALISE:
Part IV, Line 59</t>
        </r>
        <r>
          <rPr>
            <sz val="8"/>
            <color indexed="81"/>
            <rFont val="Tahoma"/>
            <family val="2"/>
          </rPr>
          <t xml:space="preserve">
</t>
        </r>
      </text>
    </comment>
    <comment ref="U22" authorId="0" shapeId="0" xr:uid="{00000000-0006-0000-3F00-00000B000000}">
      <text>
        <r>
          <rPr>
            <b/>
            <sz val="8"/>
            <color indexed="81"/>
            <rFont val="Tahoma"/>
            <family val="2"/>
          </rPr>
          <t>From ALISE:
Part IV, Line 60</t>
        </r>
        <r>
          <rPr>
            <sz val="8"/>
            <color indexed="81"/>
            <rFont val="Tahoma"/>
            <family val="2"/>
          </rPr>
          <t xml:space="preserve">
</t>
        </r>
      </text>
    </comment>
    <comment ref="V22" authorId="0" shapeId="0" xr:uid="{00000000-0006-0000-3F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2" authorId="0" shapeId="0" xr:uid="{00000000-0006-0000-4000-000001000000}">
      <text>
        <r>
          <rPr>
            <b/>
            <sz val="8"/>
            <color indexed="81"/>
            <rFont val="Tahoma"/>
            <family val="2"/>
          </rPr>
          <t>From ALISE:
Part I, Item 2, Fall</t>
        </r>
        <r>
          <rPr>
            <sz val="8"/>
            <color indexed="81"/>
            <rFont val="Tahoma"/>
            <family val="2"/>
          </rPr>
          <t xml:space="preserve">
</t>
        </r>
      </text>
    </comment>
    <comment ref="C22" authorId="0" shapeId="0" xr:uid="{00000000-0006-0000-4000-000002000000}">
      <text>
        <r>
          <rPr>
            <b/>
            <sz val="8"/>
            <color indexed="81"/>
            <rFont val="Tahoma"/>
            <family val="2"/>
          </rPr>
          <t>From ALISE:
Part I, Item 3, Fall</t>
        </r>
        <r>
          <rPr>
            <sz val="8"/>
            <color indexed="81"/>
            <rFont val="Tahoma"/>
            <family val="2"/>
          </rPr>
          <t xml:space="preserve">
</t>
        </r>
      </text>
    </comment>
    <comment ref="I22" authorId="0" shapeId="0" xr:uid="{00000000-0006-0000-4000-000003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4000-000004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4000-000005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4000-000006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4000-000007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4000-000008000000}">
      <text>
        <r>
          <rPr>
            <b/>
            <sz val="8"/>
            <color indexed="81"/>
            <rFont val="Tahoma"/>
            <family val="2"/>
          </rPr>
          <t>From ALISE:
Part II, Table II-3, Total, ALA only</t>
        </r>
        <r>
          <rPr>
            <sz val="8"/>
            <color indexed="81"/>
            <rFont val="Tahoma"/>
            <family val="2"/>
          </rPr>
          <t xml:space="preserve">
</t>
        </r>
      </text>
    </comment>
    <comment ref="R22" authorId="0" shapeId="0" xr:uid="{00000000-0006-0000-4000-000009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4000-00000A000000}">
      <text>
        <r>
          <rPr>
            <b/>
            <sz val="8"/>
            <color indexed="81"/>
            <rFont val="Tahoma"/>
            <family val="2"/>
          </rPr>
          <t>From ALISE:
Part IV, Line 59</t>
        </r>
        <r>
          <rPr>
            <sz val="8"/>
            <color indexed="81"/>
            <rFont val="Tahoma"/>
            <family val="2"/>
          </rPr>
          <t xml:space="preserve">
</t>
        </r>
      </text>
    </comment>
    <comment ref="U22" authorId="0" shapeId="0" xr:uid="{00000000-0006-0000-4000-00000B000000}">
      <text>
        <r>
          <rPr>
            <b/>
            <sz val="8"/>
            <color indexed="81"/>
            <rFont val="Tahoma"/>
            <family val="2"/>
          </rPr>
          <t>From ALISE:
Part IV, Line 60</t>
        </r>
        <r>
          <rPr>
            <sz val="8"/>
            <color indexed="81"/>
            <rFont val="Tahoma"/>
            <family val="2"/>
          </rPr>
          <t xml:space="preserve">
</t>
        </r>
      </text>
    </comment>
    <comment ref="V22" authorId="0" shapeId="0" xr:uid="{00000000-0006-0000-4000-00000C000000}">
      <text>
        <r>
          <rPr>
            <b/>
            <sz val="8"/>
            <color indexed="81"/>
            <rFont val="Tahoma"/>
            <family val="2"/>
          </rPr>
          <t>From ALISE:
Part IV, Total lines 61, 62, 63, 64, and 68</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rmckinney</author>
    <author>Karen O'Brien</author>
  </authors>
  <commentList>
    <comment ref="R17" authorId="0" shapeId="0" xr:uid="{00000000-0006-0000-0600-000001000000}">
      <text>
        <r>
          <rPr>
            <b/>
            <sz val="8"/>
            <color indexed="81"/>
            <rFont val="Tahoma"/>
            <family val="2"/>
          </rPr>
          <t>rmckinney:</t>
        </r>
        <r>
          <rPr>
            <sz val="8"/>
            <color indexed="81"/>
            <rFont val="Tahoma"/>
            <family val="2"/>
          </rPr>
          <t xml:space="preserve">
43 Post BA and 300 BA</t>
        </r>
      </text>
    </comment>
    <comment ref="R18" authorId="0" shapeId="0" xr:uid="{00000000-0006-0000-0600-000002000000}">
      <text>
        <r>
          <rPr>
            <b/>
            <sz val="8"/>
            <color indexed="81"/>
            <rFont val="Tahoma"/>
            <family val="2"/>
          </rPr>
          <t>rmckinney:</t>
        </r>
        <r>
          <rPr>
            <sz val="8"/>
            <color indexed="81"/>
            <rFont val="Tahoma"/>
            <family val="2"/>
          </rPr>
          <t xml:space="preserve">
43 Post BA and 300 BA</t>
        </r>
      </text>
    </comment>
    <comment ref="B22" authorId="1" shapeId="0" xr:uid="{00000000-0006-0000-0600-000003000000}">
      <text>
        <r>
          <rPr>
            <b/>
            <sz val="8"/>
            <color indexed="81"/>
            <rFont val="Tahoma"/>
            <family val="2"/>
          </rPr>
          <t>From ALISE:
Part I, Item 2, Fall</t>
        </r>
        <r>
          <rPr>
            <sz val="8"/>
            <color indexed="81"/>
            <rFont val="Tahoma"/>
            <family val="2"/>
          </rPr>
          <t xml:space="preserve">
</t>
        </r>
      </text>
    </comment>
    <comment ref="C22" authorId="1" shapeId="0" xr:uid="{00000000-0006-0000-0600-000004000000}">
      <text>
        <r>
          <rPr>
            <b/>
            <sz val="8"/>
            <color indexed="81"/>
            <rFont val="Tahoma"/>
            <family val="2"/>
          </rPr>
          <t>From ALISE:
Part I, Item 3, Fall</t>
        </r>
        <r>
          <rPr>
            <sz val="8"/>
            <color indexed="81"/>
            <rFont val="Tahoma"/>
            <family val="2"/>
          </rPr>
          <t xml:space="preserve">
</t>
        </r>
      </text>
    </comment>
    <comment ref="I22" authorId="1" shapeId="0" xr:uid="{00000000-0006-0000-0600-000005000000}">
      <text>
        <r>
          <rPr>
            <b/>
            <sz val="8"/>
            <color indexed="81"/>
            <rFont val="Tahoma"/>
            <family val="2"/>
          </rPr>
          <t>From ALISE:
Part II, Table II-1,
Total  Full-time,
ALA only</t>
        </r>
        <r>
          <rPr>
            <sz val="8"/>
            <color indexed="81"/>
            <rFont val="Tahoma"/>
            <family val="2"/>
          </rPr>
          <t xml:space="preserve">
</t>
        </r>
      </text>
    </comment>
    <comment ref="J22" authorId="1" shapeId="0" xr:uid="{00000000-0006-0000-0600-000006000000}">
      <text>
        <r>
          <rPr>
            <b/>
            <sz val="8"/>
            <color indexed="81"/>
            <rFont val="Tahoma"/>
            <family val="2"/>
          </rPr>
          <t>From ALISE:
Part II, Table II-1,
Total No. Part-time,
ALA only</t>
        </r>
        <r>
          <rPr>
            <sz val="8"/>
            <color indexed="81"/>
            <rFont val="Tahoma"/>
            <family val="2"/>
          </rPr>
          <t xml:space="preserve">
</t>
        </r>
      </text>
    </comment>
    <comment ref="L22" authorId="1" shapeId="0" xr:uid="{00000000-0006-0000-0600-000007000000}">
      <text>
        <r>
          <rPr>
            <b/>
            <sz val="8"/>
            <color indexed="81"/>
            <rFont val="Tahoma"/>
            <family val="2"/>
          </rPr>
          <t xml:space="preserve">From ALISE:
Part II, Table II-1,
Total Part-Time FTE, ALA only
</t>
        </r>
        <r>
          <rPr>
            <sz val="8"/>
            <color indexed="81"/>
            <rFont val="Tahoma"/>
            <family val="2"/>
          </rPr>
          <t xml:space="preserve">
</t>
        </r>
      </text>
    </comment>
    <comment ref="N22" authorId="1" shapeId="0" xr:uid="{00000000-0006-0000-0600-000008000000}">
      <text>
        <r>
          <rPr>
            <b/>
            <sz val="8"/>
            <color indexed="81"/>
            <rFont val="Tahoma"/>
            <family val="2"/>
          </rPr>
          <t xml:space="preserve">From ALISE:
Part II, Table 11-4, Total AI, AP, B, and H,
ALA only  </t>
        </r>
        <r>
          <rPr>
            <sz val="8"/>
            <color indexed="81"/>
            <rFont val="Tahoma"/>
            <family val="2"/>
          </rPr>
          <t xml:space="preserve">
</t>
        </r>
      </text>
    </comment>
    <comment ref="O22" authorId="1" shapeId="0" xr:uid="{00000000-0006-0000-0600-000009000000}">
      <text>
        <r>
          <rPr>
            <b/>
            <sz val="8"/>
            <color indexed="81"/>
            <rFont val="Tahoma"/>
            <family val="2"/>
          </rPr>
          <t>From ALISE:
Part II, Table II-1, Total FTE, all programs</t>
        </r>
        <r>
          <rPr>
            <sz val="8"/>
            <color indexed="81"/>
            <rFont val="Tahoma"/>
            <family val="2"/>
          </rPr>
          <t xml:space="preserve">
</t>
        </r>
      </text>
    </comment>
    <comment ref="Q22" authorId="1" shapeId="0" xr:uid="{00000000-0006-0000-0600-00000A000000}">
      <text>
        <r>
          <rPr>
            <b/>
            <sz val="8"/>
            <color indexed="81"/>
            <rFont val="Tahoma"/>
            <family val="2"/>
          </rPr>
          <t>From ALISE:
Part II, Table II-3, Total, ALA only</t>
        </r>
        <r>
          <rPr>
            <sz val="8"/>
            <color indexed="81"/>
            <rFont val="Tahoma"/>
            <family val="2"/>
          </rPr>
          <t xml:space="preserve">
</t>
        </r>
      </text>
    </comment>
    <comment ref="R22" authorId="1" shapeId="0" xr:uid="{00000000-0006-0000-0600-00000B000000}">
      <text>
        <r>
          <rPr>
            <b/>
            <sz val="8"/>
            <color indexed="81"/>
            <rFont val="Tahoma"/>
            <family val="2"/>
          </rPr>
          <t>From ALISE:
Part II, Table II-3, Total all other programs</t>
        </r>
        <r>
          <rPr>
            <sz val="8"/>
            <color indexed="81"/>
            <rFont val="Tahoma"/>
            <family val="2"/>
          </rPr>
          <t xml:space="preserve">
</t>
        </r>
      </text>
    </comment>
    <comment ref="S22" authorId="1" shapeId="0" xr:uid="{00000000-0006-0000-0600-00000C000000}">
      <text>
        <r>
          <rPr>
            <b/>
            <sz val="8"/>
            <color indexed="81"/>
            <rFont val="Tahoma"/>
            <family val="2"/>
          </rPr>
          <t>From ALISE:
Part IV, Line 59</t>
        </r>
        <r>
          <rPr>
            <sz val="8"/>
            <color indexed="81"/>
            <rFont val="Tahoma"/>
            <family val="2"/>
          </rPr>
          <t xml:space="preserve">
</t>
        </r>
      </text>
    </comment>
    <comment ref="U22" authorId="1" shapeId="0" xr:uid="{00000000-0006-0000-0600-00000D000000}">
      <text>
        <r>
          <rPr>
            <b/>
            <sz val="8"/>
            <color indexed="81"/>
            <rFont val="Tahoma"/>
            <family val="2"/>
          </rPr>
          <t>From ALISE:
Part IV, Line 60</t>
        </r>
        <r>
          <rPr>
            <sz val="8"/>
            <color indexed="81"/>
            <rFont val="Tahoma"/>
            <family val="2"/>
          </rPr>
          <t xml:space="preserve">
</t>
        </r>
      </text>
    </comment>
    <comment ref="V22" authorId="1" shapeId="0" xr:uid="{00000000-0006-0000-0600-00000E000000}">
      <text>
        <r>
          <rPr>
            <b/>
            <sz val="8"/>
            <color indexed="81"/>
            <rFont val="Tahoma"/>
            <family val="2"/>
          </rPr>
          <t>From ALISE:
Part IV, Total lines 61, 62, 63, 64, and 68</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0800-000001000000}">
      <text>
        <r>
          <rPr>
            <b/>
            <sz val="8"/>
            <color indexed="81"/>
            <rFont val="Tahoma"/>
            <family val="2"/>
          </rPr>
          <t>From ALISE:
Part I, Item 2, Fall</t>
        </r>
        <r>
          <rPr>
            <sz val="8"/>
            <color indexed="81"/>
            <rFont val="Tahoma"/>
            <family val="2"/>
          </rPr>
          <t xml:space="preserve">
</t>
        </r>
      </text>
    </comment>
    <comment ref="C20" authorId="0" shapeId="0" xr:uid="{00000000-0006-0000-0800-000002000000}">
      <text>
        <r>
          <rPr>
            <b/>
            <sz val="8"/>
            <color indexed="81"/>
            <rFont val="Tahoma"/>
            <family val="2"/>
          </rPr>
          <t>From ALISE:
Part I, Item 3, Fall</t>
        </r>
        <r>
          <rPr>
            <sz val="8"/>
            <color indexed="81"/>
            <rFont val="Tahoma"/>
            <family val="2"/>
          </rPr>
          <t xml:space="preserve">
</t>
        </r>
      </text>
    </comment>
    <comment ref="I20" authorId="0" shapeId="0" xr:uid="{00000000-0006-0000-08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08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08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08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08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08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08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0800-00000A000000}">
      <text>
        <r>
          <rPr>
            <b/>
            <sz val="8"/>
            <color indexed="81"/>
            <rFont val="Tahoma"/>
            <family val="2"/>
          </rPr>
          <t>From ALISE:
Part IV, Line 59</t>
        </r>
        <r>
          <rPr>
            <sz val="8"/>
            <color indexed="81"/>
            <rFont val="Tahoma"/>
            <family val="2"/>
          </rPr>
          <t xml:space="preserve">
</t>
        </r>
      </text>
    </comment>
    <comment ref="U20" authorId="0" shapeId="0" xr:uid="{00000000-0006-0000-0800-00000B000000}">
      <text>
        <r>
          <rPr>
            <b/>
            <sz val="8"/>
            <color indexed="81"/>
            <rFont val="Tahoma"/>
            <family val="2"/>
          </rPr>
          <t>From ALISE:
Part IV, Line 60</t>
        </r>
        <r>
          <rPr>
            <sz val="8"/>
            <color indexed="81"/>
            <rFont val="Tahoma"/>
            <family val="2"/>
          </rPr>
          <t xml:space="preserve">
</t>
        </r>
      </text>
    </comment>
    <comment ref="V20" authorId="0" shapeId="0" xr:uid="{00000000-0006-0000-0800-00000C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0800-00000D000000}">
      <text>
        <r>
          <rPr>
            <b/>
            <sz val="8"/>
            <color indexed="81"/>
            <rFont val="Tahoma"/>
            <family val="2"/>
          </rPr>
          <t>From ALISE:
Part I, Item 2, Fall</t>
        </r>
        <r>
          <rPr>
            <sz val="8"/>
            <color indexed="81"/>
            <rFont val="Tahoma"/>
            <family val="2"/>
          </rPr>
          <t xml:space="preserve">
</t>
        </r>
      </text>
    </comment>
    <comment ref="C22" authorId="0" shapeId="0" xr:uid="{00000000-0006-0000-0800-00000E000000}">
      <text>
        <r>
          <rPr>
            <b/>
            <sz val="8"/>
            <color indexed="81"/>
            <rFont val="Tahoma"/>
            <family val="2"/>
          </rPr>
          <t>From ALISE:
Part I, Item 3, Fall</t>
        </r>
        <r>
          <rPr>
            <sz val="8"/>
            <color indexed="81"/>
            <rFont val="Tahoma"/>
            <family val="2"/>
          </rPr>
          <t xml:space="preserve">
</t>
        </r>
      </text>
    </comment>
    <comment ref="I22" authorId="0" shapeId="0" xr:uid="{00000000-0006-0000-0800-00000F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0800-000010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0800-000011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0800-000012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0800-000013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0800-000014000000}">
      <text>
        <r>
          <rPr>
            <b/>
            <sz val="8"/>
            <color indexed="81"/>
            <rFont val="Tahoma"/>
            <family val="2"/>
          </rPr>
          <t>From ALISE:
Part II, Table II-3, Total, ALA only</t>
        </r>
        <r>
          <rPr>
            <sz val="8"/>
            <color indexed="81"/>
            <rFont val="Tahoma"/>
            <family val="2"/>
          </rPr>
          <t xml:space="preserve">
</t>
        </r>
      </text>
    </comment>
    <comment ref="R22" authorId="0" shapeId="0" xr:uid="{00000000-0006-0000-0800-000015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0800-000016000000}">
      <text>
        <r>
          <rPr>
            <b/>
            <sz val="8"/>
            <color indexed="81"/>
            <rFont val="Tahoma"/>
            <family val="2"/>
          </rPr>
          <t>From ALISE:
Part IV, Line 59</t>
        </r>
        <r>
          <rPr>
            <sz val="8"/>
            <color indexed="81"/>
            <rFont val="Tahoma"/>
            <family val="2"/>
          </rPr>
          <t xml:space="preserve">
</t>
        </r>
      </text>
    </comment>
    <comment ref="U22" authorId="0" shapeId="0" xr:uid="{00000000-0006-0000-0800-000017000000}">
      <text>
        <r>
          <rPr>
            <b/>
            <sz val="8"/>
            <color indexed="81"/>
            <rFont val="Tahoma"/>
            <family val="2"/>
          </rPr>
          <t>From ALISE:
Part IV, Line 60</t>
        </r>
        <r>
          <rPr>
            <sz val="8"/>
            <color indexed="81"/>
            <rFont val="Tahoma"/>
            <family val="2"/>
          </rPr>
          <t xml:space="preserve">
</t>
        </r>
      </text>
    </comment>
    <comment ref="V22" authorId="0" shapeId="0" xr:uid="{00000000-0006-0000-0800-000018000000}">
      <text>
        <r>
          <rPr>
            <b/>
            <sz val="8"/>
            <color indexed="81"/>
            <rFont val="Tahoma"/>
            <family val="2"/>
          </rPr>
          <t>From ALISE:
Part IV, Total lines 61, 62, 63, 64, and 68</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0A00-000001000000}">
      <text>
        <r>
          <rPr>
            <b/>
            <sz val="8"/>
            <color indexed="81"/>
            <rFont val="Tahoma"/>
            <family val="2"/>
          </rPr>
          <t>From ALISE:
Part I, Item 2, Fall</t>
        </r>
        <r>
          <rPr>
            <sz val="8"/>
            <color indexed="81"/>
            <rFont val="Tahoma"/>
            <family val="2"/>
          </rPr>
          <t xml:space="preserve">
</t>
        </r>
      </text>
    </comment>
    <comment ref="C20" authorId="0" shapeId="0" xr:uid="{00000000-0006-0000-0A00-000002000000}">
      <text>
        <r>
          <rPr>
            <b/>
            <sz val="8"/>
            <color indexed="81"/>
            <rFont val="Tahoma"/>
            <family val="2"/>
          </rPr>
          <t>From ALISE:
Part I, Item 3, Fall</t>
        </r>
        <r>
          <rPr>
            <sz val="8"/>
            <color indexed="81"/>
            <rFont val="Tahoma"/>
            <family val="2"/>
          </rPr>
          <t xml:space="preserve">
</t>
        </r>
      </text>
    </comment>
    <comment ref="I20" authorId="0" shapeId="0" xr:uid="{00000000-0006-0000-0A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0A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0A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0A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0A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0A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0A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0A00-00000A000000}">
      <text>
        <r>
          <rPr>
            <b/>
            <sz val="8"/>
            <color indexed="81"/>
            <rFont val="Tahoma"/>
            <family val="2"/>
          </rPr>
          <t>From ALISE:
Part IV, Line 59</t>
        </r>
        <r>
          <rPr>
            <sz val="8"/>
            <color indexed="81"/>
            <rFont val="Tahoma"/>
            <family val="2"/>
          </rPr>
          <t xml:space="preserve">
</t>
        </r>
      </text>
    </comment>
    <comment ref="U20" authorId="0" shapeId="0" xr:uid="{00000000-0006-0000-0A00-00000B000000}">
      <text>
        <r>
          <rPr>
            <b/>
            <sz val="8"/>
            <color indexed="81"/>
            <rFont val="Tahoma"/>
            <family val="2"/>
          </rPr>
          <t>From ALISE:
Part IV, Line 60</t>
        </r>
        <r>
          <rPr>
            <sz val="8"/>
            <color indexed="81"/>
            <rFont val="Tahoma"/>
            <family val="2"/>
          </rPr>
          <t xml:space="preserve">
</t>
        </r>
      </text>
    </comment>
    <comment ref="V20" authorId="0" shapeId="0" xr:uid="{00000000-0006-0000-0A00-00000C000000}">
      <text>
        <r>
          <rPr>
            <b/>
            <sz val="8"/>
            <color indexed="81"/>
            <rFont val="Tahoma"/>
            <family val="2"/>
          </rPr>
          <t>From ALISE:
Part IV, Total lines 61, 62, 63, 64, and 68</t>
        </r>
        <r>
          <rPr>
            <sz val="8"/>
            <color indexed="81"/>
            <rFont val="Tahoma"/>
            <family val="2"/>
          </rPr>
          <t xml:space="preserve">
</t>
        </r>
      </text>
    </comment>
    <comment ref="B21" authorId="0" shapeId="0" xr:uid="{00000000-0006-0000-0A00-00000D000000}">
      <text>
        <r>
          <rPr>
            <b/>
            <sz val="8"/>
            <color indexed="81"/>
            <rFont val="Tahoma"/>
            <family val="2"/>
          </rPr>
          <t>From ALISE:
Part I, Item 2, Fall</t>
        </r>
        <r>
          <rPr>
            <sz val="8"/>
            <color indexed="81"/>
            <rFont val="Tahoma"/>
            <family val="2"/>
          </rPr>
          <t xml:space="preserve">
</t>
        </r>
      </text>
    </comment>
    <comment ref="C21" authorId="0" shapeId="0" xr:uid="{00000000-0006-0000-0A00-00000E000000}">
      <text>
        <r>
          <rPr>
            <b/>
            <sz val="8"/>
            <color indexed="81"/>
            <rFont val="Tahoma"/>
            <family val="2"/>
          </rPr>
          <t>From ALISE:
Part I, Item 3, Fall</t>
        </r>
        <r>
          <rPr>
            <sz val="8"/>
            <color indexed="81"/>
            <rFont val="Tahoma"/>
            <family val="2"/>
          </rPr>
          <t xml:space="preserve">
</t>
        </r>
      </text>
    </comment>
    <comment ref="I21" authorId="0" shapeId="0" xr:uid="{00000000-0006-0000-0A00-00000F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0A00-000010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0A00-000011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0A00-000012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0A00-000013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0A00-000014000000}">
      <text>
        <r>
          <rPr>
            <b/>
            <sz val="8"/>
            <color indexed="81"/>
            <rFont val="Tahoma"/>
            <family val="2"/>
          </rPr>
          <t>From ALISE:
Part II, Table II-3, Total, ALA only</t>
        </r>
        <r>
          <rPr>
            <sz val="8"/>
            <color indexed="81"/>
            <rFont val="Tahoma"/>
            <family val="2"/>
          </rPr>
          <t xml:space="preserve">
</t>
        </r>
      </text>
    </comment>
    <comment ref="R21" authorId="0" shapeId="0" xr:uid="{00000000-0006-0000-0A00-000015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0A00-000016000000}">
      <text>
        <r>
          <rPr>
            <b/>
            <sz val="8"/>
            <color indexed="81"/>
            <rFont val="Tahoma"/>
            <family val="2"/>
          </rPr>
          <t>From ALISE:
Part IV, Line 59</t>
        </r>
        <r>
          <rPr>
            <sz val="8"/>
            <color indexed="81"/>
            <rFont val="Tahoma"/>
            <family val="2"/>
          </rPr>
          <t xml:space="preserve">
</t>
        </r>
      </text>
    </comment>
    <comment ref="U21" authorId="0" shapeId="0" xr:uid="{00000000-0006-0000-0A00-000017000000}">
      <text>
        <r>
          <rPr>
            <b/>
            <sz val="8"/>
            <color indexed="81"/>
            <rFont val="Tahoma"/>
            <family val="2"/>
          </rPr>
          <t>From ALISE:
Part IV, Line 60</t>
        </r>
        <r>
          <rPr>
            <sz val="8"/>
            <color indexed="81"/>
            <rFont val="Tahoma"/>
            <family val="2"/>
          </rPr>
          <t xml:space="preserve">
</t>
        </r>
      </text>
    </comment>
    <comment ref="V21" authorId="0" shapeId="0" xr:uid="{00000000-0006-0000-0A00-000018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0A00-000019000000}">
      <text>
        <r>
          <rPr>
            <b/>
            <sz val="8"/>
            <color indexed="81"/>
            <rFont val="Tahoma"/>
            <family val="2"/>
          </rPr>
          <t>From ALISE:
Part I, Item 2, Fall</t>
        </r>
        <r>
          <rPr>
            <sz val="8"/>
            <color indexed="81"/>
            <rFont val="Tahoma"/>
            <family val="2"/>
          </rPr>
          <t xml:space="preserve">
</t>
        </r>
      </text>
    </comment>
    <comment ref="C22" authorId="0" shapeId="0" xr:uid="{00000000-0006-0000-0A00-00001A000000}">
      <text>
        <r>
          <rPr>
            <b/>
            <sz val="8"/>
            <color indexed="81"/>
            <rFont val="Tahoma"/>
            <family val="2"/>
          </rPr>
          <t>From ALISE:
Part I, Item 3, Fall</t>
        </r>
        <r>
          <rPr>
            <sz val="8"/>
            <color indexed="81"/>
            <rFont val="Tahoma"/>
            <family val="2"/>
          </rPr>
          <t xml:space="preserve">
</t>
        </r>
      </text>
    </comment>
    <comment ref="I22" authorId="0" shapeId="0" xr:uid="{00000000-0006-0000-0A00-00001B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0A00-00001C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0A00-00001D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0A00-00001E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0A00-00001F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0A00-000020000000}">
      <text>
        <r>
          <rPr>
            <b/>
            <sz val="8"/>
            <color indexed="81"/>
            <rFont val="Tahoma"/>
            <family val="2"/>
          </rPr>
          <t>From ALISE:
Part II, Table II-3, Total, ALA only</t>
        </r>
        <r>
          <rPr>
            <sz val="8"/>
            <color indexed="81"/>
            <rFont val="Tahoma"/>
            <family val="2"/>
          </rPr>
          <t xml:space="preserve">
</t>
        </r>
      </text>
    </comment>
    <comment ref="R22" authorId="0" shapeId="0" xr:uid="{00000000-0006-0000-0A00-000021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0A00-000022000000}">
      <text>
        <r>
          <rPr>
            <b/>
            <sz val="8"/>
            <color indexed="81"/>
            <rFont val="Tahoma"/>
            <family val="2"/>
          </rPr>
          <t>From ALISE:
Part IV, Line 59</t>
        </r>
        <r>
          <rPr>
            <sz val="8"/>
            <color indexed="81"/>
            <rFont val="Tahoma"/>
            <family val="2"/>
          </rPr>
          <t xml:space="preserve">
</t>
        </r>
      </text>
    </comment>
    <comment ref="U22" authorId="0" shapeId="0" xr:uid="{00000000-0006-0000-0A00-000023000000}">
      <text>
        <r>
          <rPr>
            <b/>
            <sz val="8"/>
            <color indexed="81"/>
            <rFont val="Tahoma"/>
            <family val="2"/>
          </rPr>
          <t>From ALISE:
Part IV, Line 60</t>
        </r>
        <r>
          <rPr>
            <sz val="8"/>
            <color indexed="81"/>
            <rFont val="Tahoma"/>
            <family val="2"/>
          </rPr>
          <t xml:space="preserve">
</t>
        </r>
      </text>
    </comment>
    <comment ref="V22" authorId="0" shapeId="0" xr:uid="{00000000-0006-0000-0A00-000024000000}">
      <text>
        <r>
          <rPr>
            <b/>
            <sz val="8"/>
            <color indexed="81"/>
            <rFont val="Tahoma"/>
            <family val="2"/>
          </rPr>
          <t>From ALISE:
Part IV, Total lines 61, 62, 63, 64, and 68</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Karen O'Brien</author>
  </authors>
  <commentList>
    <comment ref="B20" authorId="0" shapeId="0" xr:uid="{00000000-0006-0000-0C00-000001000000}">
      <text>
        <r>
          <rPr>
            <b/>
            <sz val="8"/>
            <color indexed="81"/>
            <rFont val="Tahoma"/>
            <family val="2"/>
          </rPr>
          <t>From ALISE:
Part I, Item 2, Fall</t>
        </r>
        <r>
          <rPr>
            <sz val="8"/>
            <color indexed="81"/>
            <rFont val="Tahoma"/>
            <family val="2"/>
          </rPr>
          <t xml:space="preserve">
</t>
        </r>
      </text>
    </comment>
    <comment ref="C20" authorId="0" shapeId="0" xr:uid="{00000000-0006-0000-0C00-000002000000}">
      <text>
        <r>
          <rPr>
            <b/>
            <sz val="8"/>
            <color indexed="81"/>
            <rFont val="Tahoma"/>
            <family val="2"/>
          </rPr>
          <t>From ALISE:
Part I, Item 3, Fall</t>
        </r>
        <r>
          <rPr>
            <sz val="8"/>
            <color indexed="81"/>
            <rFont val="Tahoma"/>
            <family val="2"/>
          </rPr>
          <t xml:space="preserve">
</t>
        </r>
      </text>
    </comment>
    <comment ref="I20" authorId="0" shapeId="0" xr:uid="{00000000-0006-0000-0C00-000003000000}">
      <text>
        <r>
          <rPr>
            <b/>
            <sz val="8"/>
            <color indexed="81"/>
            <rFont val="Tahoma"/>
            <family val="2"/>
          </rPr>
          <t>From ALISE:
Part II, Table II-1,
Total  Full-time,
ALA only</t>
        </r>
        <r>
          <rPr>
            <sz val="8"/>
            <color indexed="81"/>
            <rFont val="Tahoma"/>
            <family val="2"/>
          </rPr>
          <t xml:space="preserve">
</t>
        </r>
      </text>
    </comment>
    <comment ref="J20" authorId="0" shapeId="0" xr:uid="{00000000-0006-0000-0C00-000004000000}">
      <text>
        <r>
          <rPr>
            <b/>
            <sz val="8"/>
            <color indexed="81"/>
            <rFont val="Tahoma"/>
            <family val="2"/>
          </rPr>
          <t>From ALISE:
Part II, Table II-1,
Total No. Part-time,
ALA only</t>
        </r>
        <r>
          <rPr>
            <sz val="8"/>
            <color indexed="81"/>
            <rFont val="Tahoma"/>
            <family val="2"/>
          </rPr>
          <t xml:space="preserve">
</t>
        </r>
      </text>
    </comment>
    <comment ref="L20" authorId="0" shapeId="0" xr:uid="{00000000-0006-0000-0C00-000005000000}">
      <text>
        <r>
          <rPr>
            <b/>
            <sz val="8"/>
            <color indexed="81"/>
            <rFont val="Tahoma"/>
            <family val="2"/>
          </rPr>
          <t xml:space="preserve">From ALISE:
Part II, Table II-1,
Total Part-Time FTE, ALA only
</t>
        </r>
        <r>
          <rPr>
            <sz val="8"/>
            <color indexed="81"/>
            <rFont val="Tahoma"/>
            <family val="2"/>
          </rPr>
          <t xml:space="preserve">
</t>
        </r>
      </text>
    </comment>
    <comment ref="N20" authorId="0" shapeId="0" xr:uid="{00000000-0006-0000-0C00-000006000000}">
      <text>
        <r>
          <rPr>
            <b/>
            <sz val="8"/>
            <color indexed="81"/>
            <rFont val="Tahoma"/>
            <family val="2"/>
          </rPr>
          <t xml:space="preserve">From ALISE:
Part II, Table 11-4, Total AI, AP, B, and H,
ALA only  </t>
        </r>
        <r>
          <rPr>
            <sz val="8"/>
            <color indexed="81"/>
            <rFont val="Tahoma"/>
            <family val="2"/>
          </rPr>
          <t xml:space="preserve">
</t>
        </r>
      </text>
    </comment>
    <comment ref="O20" authorId="0" shapeId="0" xr:uid="{00000000-0006-0000-0C00-000007000000}">
      <text>
        <r>
          <rPr>
            <b/>
            <sz val="8"/>
            <color indexed="81"/>
            <rFont val="Tahoma"/>
            <family val="2"/>
          </rPr>
          <t>From ALISE:
Part II, Table II-1, Total FTE, all programs</t>
        </r>
        <r>
          <rPr>
            <sz val="8"/>
            <color indexed="81"/>
            <rFont val="Tahoma"/>
            <family val="2"/>
          </rPr>
          <t xml:space="preserve">
</t>
        </r>
      </text>
    </comment>
    <comment ref="Q20" authorId="0" shapeId="0" xr:uid="{00000000-0006-0000-0C00-000008000000}">
      <text>
        <r>
          <rPr>
            <b/>
            <sz val="8"/>
            <color indexed="81"/>
            <rFont val="Tahoma"/>
            <family val="2"/>
          </rPr>
          <t>From ALISE:
Part II, Table II-3, Total, ALA only</t>
        </r>
        <r>
          <rPr>
            <sz val="8"/>
            <color indexed="81"/>
            <rFont val="Tahoma"/>
            <family val="2"/>
          </rPr>
          <t xml:space="preserve">
</t>
        </r>
      </text>
    </comment>
    <comment ref="R20" authorId="0" shapeId="0" xr:uid="{00000000-0006-0000-0C00-000009000000}">
      <text>
        <r>
          <rPr>
            <b/>
            <sz val="8"/>
            <color indexed="81"/>
            <rFont val="Tahoma"/>
            <family val="2"/>
          </rPr>
          <t>From ALISE:
Part II, Table II-3, Total all other programs</t>
        </r>
        <r>
          <rPr>
            <sz val="8"/>
            <color indexed="81"/>
            <rFont val="Tahoma"/>
            <family val="2"/>
          </rPr>
          <t xml:space="preserve">
</t>
        </r>
      </text>
    </comment>
    <comment ref="S20" authorId="0" shapeId="0" xr:uid="{00000000-0006-0000-0C00-00000A000000}">
      <text>
        <r>
          <rPr>
            <b/>
            <sz val="8"/>
            <color indexed="81"/>
            <rFont val="Tahoma"/>
            <family val="2"/>
          </rPr>
          <t>From ALISE:
Part IV, Line 59</t>
        </r>
        <r>
          <rPr>
            <sz val="8"/>
            <color indexed="81"/>
            <rFont val="Tahoma"/>
            <family val="2"/>
          </rPr>
          <t xml:space="preserve">
</t>
        </r>
      </text>
    </comment>
    <comment ref="U20" authorId="0" shapeId="0" xr:uid="{00000000-0006-0000-0C00-00000B000000}">
      <text>
        <r>
          <rPr>
            <b/>
            <sz val="8"/>
            <color indexed="81"/>
            <rFont val="Tahoma"/>
            <family val="2"/>
          </rPr>
          <t>From ALISE:
Part IV, Line 60</t>
        </r>
        <r>
          <rPr>
            <sz val="8"/>
            <color indexed="81"/>
            <rFont val="Tahoma"/>
            <family val="2"/>
          </rPr>
          <t xml:space="preserve">
</t>
        </r>
      </text>
    </comment>
    <comment ref="V20" authorId="0" shapeId="0" xr:uid="{00000000-0006-0000-0C00-00000C000000}">
      <text>
        <r>
          <rPr>
            <b/>
            <sz val="8"/>
            <color indexed="81"/>
            <rFont val="Tahoma"/>
            <family val="2"/>
          </rPr>
          <t>From ALISE:
Part IV, Total lines 61, 62, 63, 64, and 68</t>
        </r>
        <r>
          <rPr>
            <sz val="8"/>
            <color indexed="81"/>
            <rFont val="Tahoma"/>
            <family val="2"/>
          </rPr>
          <t xml:space="preserve">
</t>
        </r>
      </text>
    </comment>
    <comment ref="B21" authorId="0" shapeId="0" xr:uid="{00000000-0006-0000-0C00-00000D000000}">
      <text>
        <r>
          <rPr>
            <b/>
            <sz val="8"/>
            <color indexed="81"/>
            <rFont val="Tahoma"/>
            <family val="2"/>
          </rPr>
          <t>From ALISE:
Part I, Item 2, Fall</t>
        </r>
        <r>
          <rPr>
            <sz val="8"/>
            <color indexed="81"/>
            <rFont val="Tahoma"/>
            <family val="2"/>
          </rPr>
          <t xml:space="preserve">
</t>
        </r>
      </text>
    </comment>
    <comment ref="C21" authorId="0" shapeId="0" xr:uid="{00000000-0006-0000-0C00-00000E000000}">
      <text>
        <r>
          <rPr>
            <b/>
            <sz val="8"/>
            <color indexed="81"/>
            <rFont val="Tahoma"/>
            <family val="2"/>
          </rPr>
          <t>From ALISE:
Part I, Item 3, Fall</t>
        </r>
        <r>
          <rPr>
            <sz val="8"/>
            <color indexed="81"/>
            <rFont val="Tahoma"/>
            <family val="2"/>
          </rPr>
          <t xml:space="preserve">
</t>
        </r>
      </text>
    </comment>
    <comment ref="I21" authorId="0" shapeId="0" xr:uid="{00000000-0006-0000-0C00-00000F000000}">
      <text>
        <r>
          <rPr>
            <b/>
            <sz val="8"/>
            <color indexed="81"/>
            <rFont val="Tahoma"/>
            <family val="2"/>
          </rPr>
          <t>From ALISE:
Part II, Table II-1,
Total  Full-time,
ALA only</t>
        </r>
        <r>
          <rPr>
            <sz val="8"/>
            <color indexed="81"/>
            <rFont val="Tahoma"/>
            <family val="2"/>
          </rPr>
          <t xml:space="preserve">
</t>
        </r>
      </text>
    </comment>
    <comment ref="J21" authorId="0" shapeId="0" xr:uid="{00000000-0006-0000-0C00-000010000000}">
      <text>
        <r>
          <rPr>
            <b/>
            <sz val="8"/>
            <color indexed="81"/>
            <rFont val="Tahoma"/>
            <family val="2"/>
          </rPr>
          <t>From ALISE:
Part II, Table II-1,
Total No. Part-time,
ALA only</t>
        </r>
        <r>
          <rPr>
            <sz val="8"/>
            <color indexed="81"/>
            <rFont val="Tahoma"/>
            <family val="2"/>
          </rPr>
          <t xml:space="preserve">
</t>
        </r>
      </text>
    </comment>
    <comment ref="L21" authorId="0" shapeId="0" xr:uid="{00000000-0006-0000-0C00-000011000000}">
      <text>
        <r>
          <rPr>
            <b/>
            <sz val="8"/>
            <color indexed="81"/>
            <rFont val="Tahoma"/>
            <family val="2"/>
          </rPr>
          <t xml:space="preserve">From ALISE:
Part II, Table II-1,
Total Part-Time FTE, ALA only
</t>
        </r>
        <r>
          <rPr>
            <sz val="8"/>
            <color indexed="81"/>
            <rFont val="Tahoma"/>
            <family val="2"/>
          </rPr>
          <t xml:space="preserve">
</t>
        </r>
      </text>
    </comment>
    <comment ref="N21" authorId="0" shapeId="0" xr:uid="{00000000-0006-0000-0C00-000012000000}">
      <text>
        <r>
          <rPr>
            <b/>
            <sz val="8"/>
            <color indexed="81"/>
            <rFont val="Tahoma"/>
            <family val="2"/>
          </rPr>
          <t xml:space="preserve">From ALISE:
Part II, Table 11-4, Total AI, AP, B, and H,
ALA only  </t>
        </r>
        <r>
          <rPr>
            <sz val="8"/>
            <color indexed="81"/>
            <rFont val="Tahoma"/>
            <family val="2"/>
          </rPr>
          <t xml:space="preserve">
</t>
        </r>
      </text>
    </comment>
    <comment ref="O21" authorId="0" shapeId="0" xr:uid="{00000000-0006-0000-0C00-000013000000}">
      <text>
        <r>
          <rPr>
            <b/>
            <sz val="8"/>
            <color indexed="81"/>
            <rFont val="Tahoma"/>
            <family val="2"/>
          </rPr>
          <t>From ALISE:
Part II, Table II-1, Total FTE, all programs</t>
        </r>
        <r>
          <rPr>
            <sz val="8"/>
            <color indexed="81"/>
            <rFont val="Tahoma"/>
            <family val="2"/>
          </rPr>
          <t xml:space="preserve">
</t>
        </r>
      </text>
    </comment>
    <comment ref="Q21" authorId="0" shapeId="0" xr:uid="{00000000-0006-0000-0C00-000014000000}">
      <text>
        <r>
          <rPr>
            <b/>
            <sz val="8"/>
            <color indexed="81"/>
            <rFont val="Tahoma"/>
            <family val="2"/>
          </rPr>
          <t>From ALISE:
Part II, Table II-3, Total, ALA only</t>
        </r>
        <r>
          <rPr>
            <sz val="8"/>
            <color indexed="81"/>
            <rFont val="Tahoma"/>
            <family val="2"/>
          </rPr>
          <t xml:space="preserve">
</t>
        </r>
      </text>
    </comment>
    <comment ref="R21" authorId="0" shapeId="0" xr:uid="{00000000-0006-0000-0C00-000015000000}">
      <text>
        <r>
          <rPr>
            <b/>
            <sz val="8"/>
            <color indexed="81"/>
            <rFont val="Tahoma"/>
            <family val="2"/>
          </rPr>
          <t>From ALISE:
Part II, Table II-3, Total all other programs</t>
        </r>
        <r>
          <rPr>
            <sz val="8"/>
            <color indexed="81"/>
            <rFont val="Tahoma"/>
            <family val="2"/>
          </rPr>
          <t xml:space="preserve">
</t>
        </r>
      </text>
    </comment>
    <comment ref="S21" authorId="0" shapeId="0" xr:uid="{00000000-0006-0000-0C00-000016000000}">
      <text>
        <r>
          <rPr>
            <b/>
            <sz val="8"/>
            <color indexed="81"/>
            <rFont val="Tahoma"/>
            <family val="2"/>
          </rPr>
          <t>From ALISE:
Part IV, Line 59</t>
        </r>
        <r>
          <rPr>
            <sz val="8"/>
            <color indexed="81"/>
            <rFont val="Tahoma"/>
            <family val="2"/>
          </rPr>
          <t xml:space="preserve">
</t>
        </r>
      </text>
    </comment>
    <comment ref="U21" authorId="0" shapeId="0" xr:uid="{00000000-0006-0000-0C00-000017000000}">
      <text>
        <r>
          <rPr>
            <b/>
            <sz val="8"/>
            <color indexed="81"/>
            <rFont val="Tahoma"/>
            <family val="2"/>
          </rPr>
          <t>From ALISE:
Part IV, Line 60</t>
        </r>
        <r>
          <rPr>
            <sz val="8"/>
            <color indexed="81"/>
            <rFont val="Tahoma"/>
            <family val="2"/>
          </rPr>
          <t xml:space="preserve">
</t>
        </r>
      </text>
    </comment>
    <comment ref="V21" authorId="0" shapeId="0" xr:uid="{00000000-0006-0000-0C00-000018000000}">
      <text>
        <r>
          <rPr>
            <b/>
            <sz val="8"/>
            <color indexed="81"/>
            <rFont val="Tahoma"/>
            <family val="2"/>
          </rPr>
          <t>From ALISE:
Part IV, Total lines 61, 62, 63, 64, and 68</t>
        </r>
        <r>
          <rPr>
            <sz val="8"/>
            <color indexed="81"/>
            <rFont val="Tahoma"/>
            <family val="2"/>
          </rPr>
          <t xml:space="preserve">
</t>
        </r>
      </text>
    </comment>
    <comment ref="B22" authorId="0" shapeId="0" xr:uid="{00000000-0006-0000-0C00-000019000000}">
      <text>
        <r>
          <rPr>
            <b/>
            <sz val="8"/>
            <color indexed="81"/>
            <rFont val="Tahoma"/>
            <family val="2"/>
          </rPr>
          <t>From ALISE:
Part I, Item 2, Fall</t>
        </r>
        <r>
          <rPr>
            <sz val="8"/>
            <color indexed="81"/>
            <rFont val="Tahoma"/>
            <family val="2"/>
          </rPr>
          <t xml:space="preserve">
</t>
        </r>
      </text>
    </comment>
    <comment ref="C22" authorId="0" shapeId="0" xr:uid="{00000000-0006-0000-0C00-00001A000000}">
      <text>
        <r>
          <rPr>
            <b/>
            <sz val="8"/>
            <color indexed="81"/>
            <rFont val="Tahoma"/>
            <family val="2"/>
          </rPr>
          <t>From ALISE:
Part I, Item 3, Fall</t>
        </r>
        <r>
          <rPr>
            <sz val="8"/>
            <color indexed="81"/>
            <rFont val="Tahoma"/>
            <family val="2"/>
          </rPr>
          <t xml:space="preserve">
</t>
        </r>
      </text>
    </comment>
    <comment ref="I22" authorId="0" shapeId="0" xr:uid="{00000000-0006-0000-0C00-00001B000000}">
      <text>
        <r>
          <rPr>
            <b/>
            <sz val="8"/>
            <color indexed="81"/>
            <rFont val="Tahoma"/>
            <family val="2"/>
          </rPr>
          <t>From ALISE:
Part II, Table II-1,
Total  Full-time,
ALA only</t>
        </r>
        <r>
          <rPr>
            <sz val="8"/>
            <color indexed="81"/>
            <rFont val="Tahoma"/>
            <family val="2"/>
          </rPr>
          <t xml:space="preserve">
</t>
        </r>
      </text>
    </comment>
    <comment ref="J22" authorId="0" shapeId="0" xr:uid="{00000000-0006-0000-0C00-00001C000000}">
      <text>
        <r>
          <rPr>
            <b/>
            <sz val="8"/>
            <color indexed="81"/>
            <rFont val="Tahoma"/>
            <family val="2"/>
          </rPr>
          <t>From ALISE:
Part II, Table II-1,
Total No. Part-time,
ALA only</t>
        </r>
        <r>
          <rPr>
            <sz val="8"/>
            <color indexed="81"/>
            <rFont val="Tahoma"/>
            <family val="2"/>
          </rPr>
          <t xml:space="preserve">
</t>
        </r>
      </text>
    </comment>
    <comment ref="L22" authorId="0" shapeId="0" xr:uid="{00000000-0006-0000-0C00-00001D000000}">
      <text>
        <r>
          <rPr>
            <b/>
            <sz val="8"/>
            <color indexed="81"/>
            <rFont val="Tahoma"/>
            <family val="2"/>
          </rPr>
          <t xml:space="preserve">From ALISE:
Part II, Table II-1,
Total Part-Time FTE, ALA only
</t>
        </r>
        <r>
          <rPr>
            <sz val="8"/>
            <color indexed="81"/>
            <rFont val="Tahoma"/>
            <family val="2"/>
          </rPr>
          <t xml:space="preserve">
</t>
        </r>
      </text>
    </comment>
    <comment ref="N22" authorId="0" shapeId="0" xr:uid="{00000000-0006-0000-0C00-00001E000000}">
      <text>
        <r>
          <rPr>
            <b/>
            <sz val="8"/>
            <color indexed="81"/>
            <rFont val="Tahoma"/>
            <family val="2"/>
          </rPr>
          <t xml:space="preserve">From ALISE:
Part II, Table 11-4, Total AI, AP, B, and H,
ALA only  </t>
        </r>
        <r>
          <rPr>
            <sz val="8"/>
            <color indexed="81"/>
            <rFont val="Tahoma"/>
            <family val="2"/>
          </rPr>
          <t xml:space="preserve">
</t>
        </r>
      </text>
    </comment>
    <comment ref="O22" authorId="0" shapeId="0" xr:uid="{00000000-0006-0000-0C00-00001F000000}">
      <text>
        <r>
          <rPr>
            <b/>
            <sz val="8"/>
            <color indexed="81"/>
            <rFont val="Tahoma"/>
            <family val="2"/>
          </rPr>
          <t>From ALISE:
Part II, Table II-1, Total FTE, all programs</t>
        </r>
        <r>
          <rPr>
            <sz val="8"/>
            <color indexed="81"/>
            <rFont val="Tahoma"/>
            <family val="2"/>
          </rPr>
          <t xml:space="preserve">
</t>
        </r>
      </text>
    </comment>
    <comment ref="Q22" authorId="0" shapeId="0" xr:uid="{00000000-0006-0000-0C00-000020000000}">
      <text>
        <r>
          <rPr>
            <b/>
            <sz val="8"/>
            <color indexed="81"/>
            <rFont val="Tahoma"/>
            <family val="2"/>
          </rPr>
          <t>From ALISE:
Part II, Table II-3, Total, ALA only</t>
        </r>
        <r>
          <rPr>
            <sz val="8"/>
            <color indexed="81"/>
            <rFont val="Tahoma"/>
            <family val="2"/>
          </rPr>
          <t xml:space="preserve">
</t>
        </r>
      </text>
    </comment>
    <comment ref="R22" authorId="0" shapeId="0" xr:uid="{00000000-0006-0000-0C00-000021000000}">
      <text>
        <r>
          <rPr>
            <b/>
            <sz val="8"/>
            <color indexed="81"/>
            <rFont val="Tahoma"/>
            <family val="2"/>
          </rPr>
          <t>From ALISE:
Part II, Table II-3, Total all other programs</t>
        </r>
        <r>
          <rPr>
            <sz val="8"/>
            <color indexed="81"/>
            <rFont val="Tahoma"/>
            <family val="2"/>
          </rPr>
          <t xml:space="preserve">
</t>
        </r>
      </text>
    </comment>
    <comment ref="S22" authorId="0" shapeId="0" xr:uid="{00000000-0006-0000-0C00-000022000000}">
      <text>
        <r>
          <rPr>
            <b/>
            <sz val="8"/>
            <color indexed="81"/>
            <rFont val="Tahoma"/>
            <family val="2"/>
          </rPr>
          <t>From ALISE:
Part IV, Line 59</t>
        </r>
        <r>
          <rPr>
            <sz val="8"/>
            <color indexed="81"/>
            <rFont val="Tahoma"/>
            <family val="2"/>
          </rPr>
          <t xml:space="preserve">
</t>
        </r>
      </text>
    </comment>
    <comment ref="U22" authorId="0" shapeId="0" xr:uid="{00000000-0006-0000-0C00-000023000000}">
      <text>
        <r>
          <rPr>
            <b/>
            <sz val="8"/>
            <color indexed="81"/>
            <rFont val="Tahoma"/>
            <family val="2"/>
          </rPr>
          <t>From ALISE:
Part IV, Line 60</t>
        </r>
        <r>
          <rPr>
            <sz val="8"/>
            <color indexed="81"/>
            <rFont val="Tahoma"/>
            <family val="2"/>
          </rPr>
          <t xml:space="preserve">
</t>
        </r>
      </text>
    </comment>
    <comment ref="V22" authorId="0" shapeId="0" xr:uid="{00000000-0006-0000-0C00-000024000000}">
      <text>
        <r>
          <rPr>
            <b/>
            <sz val="8"/>
            <color indexed="81"/>
            <rFont val="Tahoma"/>
            <family val="2"/>
          </rPr>
          <t>From ALISE:
Part IV, Total lines 61, 62, 63, 64, and 68</t>
        </r>
        <r>
          <rPr>
            <sz val="8"/>
            <color indexed="81"/>
            <rFont val="Tahoma"/>
            <family val="2"/>
          </rPr>
          <t xml:space="preserve">
</t>
        </r>
      </text>
    </comment>
  </commentList>
</comments>
</file>

<file path=xl/sharedStrings.xml><?xml version="1.0" encoding="utf-8"?>
<sst xmlns="http://schemas.openxmlformats.org/spreadsheetml/2006/main" count="2062" uniqueCount="231">
  <si>
    <t>Alabama</t>
  </si>
  <si>
    <t>Albany</t>
  </si>
  <si>
    <t>Arizona</t>
  </si>
  <si>
    <t>British Columbia</t>
  </si>
  <si>
    <t>Buffalo</t>
  </si>
  <si>
    <t>Florida State</t>
  </si>
  <si>
    <t>Hawaii</t>
  </si>
  <si>
    <t>Iowa</t>
  </si>
  <si>
    <t>Kentucky</t>
  </si>
  <si>
    <t>Maryland</t>
  </si>
  <si>
    <t>McGill</t>
  </si>
  <si>
    <t>Missouri</t>
  </si>
  <si>
    <t>Montreal</t>
  </si>
  <si>
    <t>North Texas</t>
  </si>
  <si>
    <t>Oklahoma</t>
  </si>
  <si>
    <t>Ottawa</t>
  </si>
  <si>
    <t>Pittsburgh</t>
  </si>
  <si>
    <t>South Carolina</t>
  </si>
  <si>
    <t>South Florida</t>
  </si>
  <si>
    <t>Southern California</t>
  </si>
  <si>
    <t>Southern Mississippi</t>
  </si>
  <si>
    <t>Tennessee</t>
  </si>
  <si>
    <t>Toronto</t>
  </si>
  <si>
    <t>Washington</t>
  </si>
  <si>
    <t>Western Ontario</t>
  </si>
  <si>
    <t xml:space="preserve"> FT Faculty</t>
  </si>
  <si>
    <t xml:space="preserve"> FT ALA Masters Students</t>
  </si>
  <si>
    <t xml:space="preserve"> Income Parent Institution</t>
  </si>
  <si>
    <t xml:space="preserve"> PT (FTE) Faculty</t>
  </si>
  <si>
    <t xml:space="preserve"> Total FTE Faculty</t>
  </si>
  <si>
    <t xml:space="preserve"> Total FTE Enrollment-FTE Faculty Ratio</t>
  </si>
  <si>
    <t xml:space="preserve"> PT ALA (headcount) Masters Students</t>
  </si>
  <si>
    <t xml:space="preserve"> Total ALA (headcount) Masters Students</t>
  </si>
  <si>
    <t xml:space="preserve"> PT ALA (FTE) Masters Students</t>
  </si>
  <si>
    <t xml:space="preserve"> Total ALA (FTE) Masters Students</t>
  </si>
  <si>
    <t xml:space="preserve"> ALA Minority Enrollment</t>
  </si>
  <si>
    <t xml:space="preserve"> % of ALA Students/Total FTE Enrollment</t>
  </si>
  <si>
    <t xml:space="preserve"> Other Degrees Awarded</t>
  </si>
  <si>
    <t xml:space="preserve"> Total Expenditure</t>
  </si>
  <si>
    <t xml:space="preserve"> Income Total</t>
  </si>
  <si>
    <t xml:space="preserve"> Income All Other</t>
  </si>
  <si>
    <t xml:space="preserve"> % Other Income/Total Income</t>
  </si>
  <si>
    <t>Report Year</t>
  </si>
  <si>
    <t xml:space="preserve"> Total FTE Enrollment (entire school all programs)</t>
  </si>
  <si>
    <t xml:space="preserve"> ALA Masters Degrees Awarded</t>
  </si>
  <si>
    <t>Clarion</t>
  </si>
  <si>
    <t>Dalhousie</t>
  </si>
  <si>
    <t>Dominican</t>
  </si>
  <si>
    <t>Drexel</t>
  </si>
  <si>
    <t>East Carolina</t>
  </si>
  <si>
    <t>Kent State</t>
  </si>
  <si>
    <t>Rutgers</t>
  </si>
  <si>
    <t>Simmons</t>
  </si>
  <si>
    <t>St. Catherine</t>
  </si>
  <si>
    <t>Syracuse</t>
  </si>
  <si>
    <t>Wayne State</t>
  </si>
  <si>
    <t>Alberta</t>
  </si>
  <si>
    <t>Chicago State</t>
  </si>
  <si>
    <t>Denver</t>
  </si>
  <si>
    <t>Michigan</t>
  </si>
  <si>
    <t>Puerto Rico</t>
  </si>
  <si>
    <t>Rhode Island</t>
  </si>
  <si>
    <t>Valdosta State</t>
  </si>
  <si>
    <t>Catholic</t>
  </si>
  <si>
    <t>Emporia State</t>
  </si>
  <si>
    <t>Illinois</t>
  </si>
  <si>
    <t>Louisiana State</t>
  </si>
  <si>
    <t>North Carolina - Central</t>
  </si>
  <si>
    <t>North Carolina - Chapel Hill</t>
  </si>
  <si>
    <t>North Carolina - Greensboro</t>
  </si>
  <si>
    <t>Pratt</t>
  </si>
  <si>
    <t>San Jose State</t>
  </si>
  <si>
    <t>Texas - Austin</t>
  </si>
  <si>
    <t>Wisconsin - Madison</t>
  </si>
  <si>
    <t>Wisconsin - Milwaukee</t>
  </si>
  <si>
    <t>Texas Woman's</t>
  </si>
  <si>
    <t>St. John's</t>
  </si>
  <si>
    <t>California - Los Angeles</t>
  </si>
  <si>
    <t xml:space="preserve">Queens </t>
  </si>
  <si>
    <t>N/A</t>
  </si>
  <si>
    <t>2013</t>
  </si>
  <si>
    <t>2011</t>
  </si>
  <si>
    <t>2010</t>
  </si>
  <si>
    <t>2009</t>
  </si>
  <si>
    <t>2008</t>
  </si>
  <si>
    <t>2003</t>
  </si>
  <si>
    <t>2012</t>
  </si>
  <si>
    <t xml:space="preserve">2010 Note: Notes from program in 2010 ALISE statistical report, Student Tab: For Table II-1: "*New student system not producing accurate information. For Tab II-3 and II-4: "New Student system ethnic origin is not available or not accurate for reporting." </t>
  </si>
  <si>
    <t>Excess funds can be carried forward into the next year, per the University's budget policies.</t>
  </si>
  <si>
    <t>2013 Report notes "This represents the number of FT faculty who only taught in courses related to the ALA-accredited MSLIS degree program and did NOT teach in courses outside that program." A total of 71 FT Faculty are reported, with 64 of those faculty teaching.</t>
  </si>
  <si>
    <t>2013 FTE enrollment: "For data relating to FALL 2013, we are reporting as a newly formed College of Computing &amp; Informatics [on 9/9/13 it was announced that this new college combined the programs/faculties of the College of Information Science and Technology, department of Computer Science and the program in Computing and Security Technology]. However, when reporting data on AY12-13, we are reporting as the former College of Information Science &amp; Technology."</t>
  </si>
  <si>
    <t>2013: Expenditures exceeding income are covered by "Reserved funds from colleges online revenue stream."</t>
  </si>
  <si>
    <t>Flood disaster made data unavailable.</t>
  </si>
  <si>
    <t>2013 Other Degrees Awarded increase due to reorganization into a larger school. Figure includes all other degrees awarded, including the Bachelor's, Other Master's (not ALA-accredited) and Doctoral.</t>
  </si>
  <si>
    <t>2013: The spreadsheet is adding in the Fringe Benefits amount of $287,720 into total income sources (salaries and wages) and we do not use this figure under Section B: Sources of Funds. That explains the difference between the total of $993,543 (Section B) and $1,281,263 (Total Expenditures).</t>
  </si>
  <si>
    <t>2007</t>
  </si>
  <si>
    <t>2006</t>
  </si>
  <si>
    <t>2005</t>
  </si>
  <si>
    <t xml:space="preserve">2014 note from program regarding income and expenditure: The total salaries and wages is $3,300,466. Research salaries ($527,282) are paid by research funds not the college base budget. Other salaries (330,209) are paid by other departments through shared appointments. Fringe benefits ($1,120,128) are paid by the University fringe benefits pool. The formulas used in this spreadsheet are including those expenses, hence the discrepencies. </t>
  </si>
  <si>
    <t>Includes Bachelor's &amp; Doctoral degrees awarded.</t>
  </si>
  <si>
    <t>7/24/13: Verified 2012 PT (FTE) faculty with ALISE output and OA questionnaire submitted by program.</t>
  </si>
  <si>
    <t>2011 Notes: 2011 numbers for FT ALA Masters Students, PT ALA head count, and PT FTE are significantly lower than 2010, but have been confirmed by program. Note about income vs. expenditures on ALISE Questionnaire: Covered by College administration.</t>
  </si>
  <si>
    <t>2010 Note: PT FTE calculated incorrectly in earlier reports.</t>
  </si>
  <si>
    <t xml:space="preserve">2001/02 </t>
  </si>
  <si>
    <t>2015 Student headcount likely due to literal interpretation of questions, since program is not currently ALA-accredited</t>
  </si>
  <si>
    <t>2015: Note from program regarding FT Faculty (Column B): The College reported the question for total number of faculty with teaching responsibilities solely in the MLS program in the 2014-2015 reporting period. Previously reported as total FT Faculty in the College with teaching responsibilities.</t>
  </si>
  <si>
    <t xml:space="preserve">2015 data: note from program regarding FT Faculty (Column B): OU SLIS has not experienced a decrease in faculty members, rather we interpreted the ALISE directions to be the number of faculty members who teach ONLY in the ALA accredited program rather than “the number of full-time faculty with responsibility for teaching in ALA-accredited degree(s) only.” </t>
  </si>
  <si>
    <t>2015 data: note from program regarding Income: In previous years, auxiliary and market rate income collections were reported appropriately as Parent Institution Income.  This year, reporting of financial data was coordinated by a college-level UBA staff person, who reported these income categories under “Other Income.” The revisions correct this. The drop in total income is consistent with the grant funding trend at the School of Information during this period.</t>
  </si>
  <si>
    <t xml:space="preserve"> Total FTE Enrollment-FT Faculty Ratio</t>
  </si>
  <si>
    <t>FT Faculty (ALA Masters program)</t>
  </si>
  <si>
    <t>PT (FTE) Faculty (ALA Masters program)</t>
  </si>
  <si>
    <t>2011 Note: Program explanation for sharp decrease in other degrees awarded: "Our undergraduate information science major was moved from our department to the Informatics Department. I think that accounts for the drastic drop in non-ALA degrees. Really the only non-ALA degree we offer in the department now is our Certificate of Advanced Study."</t>
  </si>
  <si>
    <t>2016: The undergraduate program has now been moved to our department, so that explains the sharp increase in Total FTE Enrollment School (cell O3) and Other Degrees Awarded (cell R3).</t>
  </si>
  <si>
    <t>2016: The difference in data for Total FTE Enrollment (column O) &amp; ALA MASTERS Degrees Awarded (column Q) correlates with the decrease in Total ALA Masters Students (column K) over the last 5 years.</t>
  </si>
  <si>
    <t>2016: The difference in income data from 2015 stems from less faculty salaries paid and less expenses charged against our school budget.</t>
  </si>
  <si>
    <t>The Total ALA Masters Degree Awarded in 2016 is just about 67% of 2015, which was just 64% of 2014. It is because in 2012 we only received conditional accreditation from ALA, then another conditional, then there was a crisis of the possibility of losing accreditation.  Students enrollment dropped tremendously, and at the same time students rushed to graduate, until we received full accreditation status again in 2015.</t>
  </si>
  <si>
    <t>Note on ALISE survey (2010-2013) for expenditure and income discrepancy: "College covered."</t>
  </si>
  <si>
    <t>2016: Total FTE Entrollment-FT Faculty Ratio: This higher due to the new Health Sciences undergraduate degree that has become part of our school.</t>
  </si>
  <si>
    <t>2016:  Total FTE Enrollment-FTE Faculty Ratio: Faculty for the new undergraduate Health Sciences degree are distributed throughout the university even though the students' academic home is in the School of Information.</t>
  </si>
  <si>
    <t>2016:  Total FTE Enrollment (entire school all programs): The increase is due to the number of new majors credited to the School of Information, even though faculty members are distributed throughout the university.</t>
  </si>
  <si>
    <t>2016: Other Degrees Awarded: This number is lower that would be expected because the Health Sciences undergraduate program just became part of the School of Information in fall 2016. No graduates from this program have been credited to the School of Information from this major yet.</t>
  </si>
  <si>
    <t xml:space="preserve">Southern Connecticut State </t>
  </si>
  <si>
    <t xml:space="preserve"> Total FTE Enrollment (ILS Dept Only)</t>
  </si>
  <si>
    <t>2016: Column O includes only the ILS Department figure, per revision request from ALA office 5/10/2017.</t>
  </si>
  <si>
    <t>2016: We merged with another university unit in July 2015; thus, we had an increase in income and expenses</t>
  </si>
  <si>
    <t>2016: ALA Master's Degrees Awarded: is degrees awarded by the program with Candidacy status</t>
  </si>
  <si>
    <t>2016: Increase in total FTE (cell O3) due to new MS in Information Management degree launched fall 2016.</t>
  </si>
  <si>
    <t>2016: Expenditures (cell S3) exceeded income (cell T3) due to a decrease in state funding. The deficit was covered using the previous year's balances that were carried forward.</t>
  </si>
  <si>
    <t>2002-2015: FT faculty = faculty teaching in ALA-accredited program only</t>
  </si>
  <si>
    <t>2016 - FT faculty = full-time faculty in the entire school; both those with and those without teaching responsibilities (regardless of program)</t>
  </si>
  <si>
    <t>-</t>
  </si>
  <si>
    <t>2016: Explanation for expenditures greater than income: The carryover from program fees, along with carryover from federal grants, covers the overage.</t>
  </si>
  <si>
    <t>2016 Note : The 2015 data reported fringe benefits only in Expenditures instead of Expenditures and Income, as reported in the past and in 2016.</t>
  </si>
  <si>
    <t>&lt;&lt;Back to Table of Contents</t>
  </si>
  <si>
    <t>2016: Campus payments for GA tuition and medical insurance had not been counted in other income until FY16 therefore the difference.</t>
  </si>
  <si>
    <t xml:space="preserve">2016: The increase in income from sources other than parent institution is a result of new federal grants/contracts and hosting the iPres Conference.  </t>
  </si>
  <si>
    <t>2014</t>
  </si>
  <si>
    <t xml:space="preserve">2016: Please note again that the other income is research and is not channelled into the Schools budget but needs to be reflected we do not operate on the US model of funding. Should not therefore be added to income total.  </t>
  </si>
  <si>
    <t>11/30/17: Updated 2012 data for columns I, J, and O</t>
  </si>
  <si>
    <t>Indiana - Bloomington</t>
  </si>
  <si>
    <t>2/14/18: Corrected column "C" for 2016 - changed from 8 to 2.64.</t>
  </si>
  <si>
    <t>2017: Column O does not include students in other majors taking MLIS courses. It does include students in MLIS, CRIM, and CSLIB curric majors. If there were degrees awarded to CRIM and CSLIB students, that number would go in Column R. There are none this academic year.</t>
  </si>
  <si>
    <t>2017: Column V is a lower amount from the previous year because grant funds were not expended.</t>
  </si>
  <si>
    <t xml:space="preserve">2017: Note from the program, we had a substantial increase in the number of FT Faculty at the College. This is due to rapid growth of our undergradaute program, requiring additional teaching faculty. Additionally, Dean Marzullo joined the College in Fall 2016, with his hiring came a number of tenure track faculty lines. </t>
  </si>
  <si>
    <t>2017: Column K - This is only the number of students enrolled in one or more courses in Fall 2017. There are roughly 52 additional students who are active but did not enroll that semester so we have 286 total active students ( unduplicated student head count).</t>
  </si>
  <si>
    <t>2017: Increase in total FTE (cell O3) due to the continued growth in the new MS in Information Management degree launched in fall 2016.</t>
  </si>
  <si>
    <t>2017: Expenditures (cell S3) exceeded income (cell T3) as we increased services to accommodate anticipated rapid enrollment increases in the MS in Information Management.</t>
  </si>
  <si>
    <t>2017: Decrease in number of students is due to submitting a separate report this year than IUPUI. Prior to this  year, their numbers were reflected in this report.</t>
  </si>
  <si>
    <t>2017 Notes: Starting in Fall 2017 there was a college re-design and 2 faculty moved to a different division.  We currently have several faculty searches underway.</t>
  </si>
  <si>
    <t>2017:  Other income now includes endowment and trust funds totalling this year $23,899 and a major research grant.  Increases here and in FT and PT faculty for ALA Master program reflect the integrated approach we are now embracing within the school.</t>
  </si>
  <si>
    <t xml:space="preserve">2017: Columns B and C include all SISLT faculty; Columns G and H include MLIS program faculty. Two .5 FTE faculty had their FTE increased and are now full-time. </t>
  </si>
  <si>
    <t>2/14/18: Corrections made to 2016 #s - Cell G4 changed from 27 to 8; and Cell H4 changed from 11 to 3.</t>
  </si>
  <si>
    <t>2017: The basis for calculating Pratt’s expenditure has changed. Please see Correspondence Log for explanation.</t>
  </si>
  <si>
    <t>University College London</t>
  </si>
  <si>
    <r>
      <t xml:space="preserve">2011 Note: </t>
    </r>
    <r>
      <rPr>
        <sz val="11"/>
        <color theme="1"/>
        <rFont val="Calibri"/>
        <family val="2"/>
        <scheme val="minor"/>
      </rPr>
      <t xml:space="preserve">program note on questionnaire regarding deficit:  3% is allowed as carry forward </t>
    </r>
  </si>
  <si>
    <r>
      <t xml:space="preserve">2010 Note: </t>
    </r>
    <r>
      <rPr>
        <sz val="11"/>
        <color theme="1"/>
        <rFont val="Calibri"/>
        <family val="2"/>
        <scheme val="minor"/>
      </rPr>
      <t>Due to a formula error in the 2010 ALISE questionnaire (item 57 of the Income and Expenditure tab should have pulled from cell B36, rather than cell C36), this amount was updated in September, 2011. The previously entered incorrect data was as follows:  $2,742,145</t>
    </r>
  </si>
  <si>
    <t>2/15/18 Notes: 
* Column  S explanation: Include SOIS salaries, wages and all operating expenses for the 12-month period that includes the 2016-2017 academic year
* Column U explanation: Income Parent Institution, for the 12-month period that includes the 2016-2017 academic year
* Column V explanation: Income, all-other, for 12-month period that includes the 2016-2017 academic year, all sources of income not listed above, including fedarl grants, contracts, CE activities, endowment/trust funds, state grants and contracts</t>
  </si>
  <si>
    <r>
      <t xml:space="preserve">2014: FT faculty = Total # of FT faculty in college (# of FT faculty teaching in ALA-accredited program </t>
    </r>
    <r>
      <rPr>
        <sz val="11"/>
        <color theme="1"/>
        <rFont val="Calibri"/>
        <family val="2"/>
        <scheme val="minor"/>
      </rPr>
      <t>only = 18)</t>
    </r>
  </si>
  <si>
    <t>2/15/18 Note: Sudden increases in columns V and W are due to an external grant, which will continue providing income for 3 more years.</t>
  </si>
  <si>
    <t>1/17/18: Updated the 2016 numbers for column B, C, G, H, as they were incorrect.</t>
  </si>
  <si>
    <t xml:space="preserve">2/15/18: 
*Explanation for 2013 data adjustment: Column C was wrong. It appears to have included Column B counts. Colums I - Q were just simply incorrect. 
*Explanation for 2014 data adjustment: Rows I and J were flipped around. Colums L - Q were just simply incorrect. </t>
  </si>
  <si>
    <t>11/29/17: Data for 2014 and 2015 were corrected.</t>
  </si>
  <si>
    <r>
      <t xml:space="preserve">2010 Notes: </t>
    </r>
    <r>
      <rPr>
        <sz val="11"/>
        <color theme="1"/>
        <rFont val="Calibri"/>
        <family val="2"/>
        <scheme val="minor"/>
      </rPr>
      <t>At Simmons, FTE at the graduate level is calculated as total number of registered credits divided by 10.  In 2009, we reported FTE based on 9 + credits, which GSLIS considers a full-time course load. In 2009, we omitted students enrolled in our dual-degree Children's Literature/LIS program because these students are not counted in our numbers where revenue is concerned.  After consulting with the Office of the Registrar, we are now counting dual degree students in our numbers since GSLIS awards a "Master of Science" degree to these students.</t>
    </r>
  </si>
  <si>
    <t xml:space="preserve">2/26/18: The program submitted the following corrections to the 2008-2016 data:     
2012: Other Degrees Awarded (Column R) was changed from '14' to '4'      
2008-2016: Values for expenditures (Column S) and income columns (U and V) were corrected    
2010-2016: Values for PT (FTE) Faculty were corrected (Columns C and H) </t>
  </si>
  <si>
    <r>
      <rPr>
        <b/>
        <sz val="11"/>
        <color theme="1"/>
        <rFont val="Calibri"/>
        <family val="2"/>
        <scheme val="minor"/>
      </rPr>
      <t>5/21/18:</t>
    </r>
    <r>
      <rPr>
        <sz val="11"/>
        <color theme="1"/>
        <rFont val="Calibri"/>
        <family val="2"/>
        <scheme val="minor"/>
      </rPr>
      <t xml:space="preserve"> Correction made by program - Column O changed from 568 to 614.65 and Column Q changed from 302 to 312.</t>
    </r>
  </si>
  <si>
    <t>Year</t>
  </si>
  <si>
    <t>n/a</t>
  </si>
  <si>
    <t>2018 notes: Column L - Kansas Board of Regents mandated a change in the way we calculate graduate FTE. We used to divide by 9, but the board says we now must divide by 12. Columns S through V: Added a new cohort location which effects expenses/income</t>
  </si>
  <si>
    <t>.51.5</t>
  </si>
  <si>
    <t>2018: Column O includes the 109 FTE from Column M plus 4.0 FTE from Other Graduate category which includes the Graduate Certificate enrollment</t>
  </si>
  <si>
    <t>2018: Column R includes those students who earned a Graduate Certificate- CRIM or CSLIB</t>
  </si>
  <si>
    <t>*2018 data note: FT faculty (column B) includes the program director. One FT faculty position has been vacant since 10/1/18, and will be filled in 2019.
*2/14/18 - The following data for past years was updated:
*2016: Q changed from 0 to 17; R changed from 17 to 0
*2015: I changed from 0 to 46; J changed from 0 to 5; L changed from 0 to 2.75; N changed from 0 to 23; Q changed from 0 to 18; R changed from 18 to 0
*2014: I changed from 35 to 33; J changed from 0 to 2; L changed from 0 to 1.25</t>
  </si>
  <si>
    <t xml:space="preserve">2018 note regarding column G: As of the 2018-2019 academic year, three faculty and the program head now teach part of their teaching load in the undergraduate general education core. </t>
  </si>
  <si>
    <t xml:space="preserve">2018: PT Student FTE formula - Arizona Board of Regents (ABOR) FTE is not straight forward; it evaluates a student’s credit-bearing unit load and calculates the FTE based on class division (lower-division / 15, upper-division / 12, &amp; graduate-division / 10). Therefore, a full-time student for IPEDS can have an ABOR FTE not equal to 1. </t>
  </si>
  <si>
    <t>Indiana University – Purdue University, Indianapolis</t>
  </si>
  <si>
    <t xml:space="preserve">2018: Note from the program reguarding Total FTE Enrollment: Our undergraduate program has continued to grow immensely in the last year. We currently have 708 FTE undergraduates. </t>
  </si>
  <si>
    <t xml:space="preserve">2018 Notes:  the decrease in "income all other" in FY18 reflects the release of gift revenue  that existed in fund balances in FY16 and FY17.  </t>
  </si>
  <si>
    <t>11/21/2018: Income All Other is significantly higher due to a $15M gift received by one of our research groups.</t>
  </si>
  <si>
    <t>2017 (sent on 2/15/18): For 2016 data, Column S was changed from $1,673,743 to $2,031,001.</t>
  </si>
  <si>
    <t>2018 Note: University Human Resources notes that fringe benefits are not expenditures of the University, but are expenditures of the State of New York. Past practice in our reporting has been to include a percentage of salary expenditure as institutional support representing fringe benefits. We have been informed that this is incorrect practice, and starting with this report and henceforth, we will include only salary expenditures as institutional support for personnel.</t>
  </si>
  <si>
    <t xml:space="preserve">2018: Reduction in total expenditure for 2018 is as a result of cost saving mandates across campus, and is reflected in lower parent institution income. </t>
  </si>
  <si>
    <t>2018: The increase in PT (FTE) Faculty, is a result of several factors, including three faculty on leave, several teaching load reductions, and an increase in the number of sections being taught.  Support from our parent institution was reduced by $294,823, roughly 5%.  To a large degree this was offset by an increase of $212,275 in School-Based Tuition, due to increased enrollment; please note SBT is considered ‘Other Income’ for the purposes of the ALA  reprot.  By far, the key factor in our income growth was due new grants.</t>
  </si>
  <si>
    <t>11/27/18: Note on Column H:  Booth, He, &amp; Langmead not teaching MLIS courses Fall 2018</t>
  </si>
  <si>
    <t>11/27/18:  Note Row I, J, K:  New admissions paused for Fall Term 2018; new admissions begin for Fall Term 2019; number reflects continuing students</t>
  </si>
  <si>
    <t>2018: The basis for calculating Pratt's expenditure changed in 2017. Please see Correspondence Log for explanation.</t>
  </si>
  <si>
    <t>$2,933,701</t>
  </si>
  <si>
    <t>2018 Note: Corrected FT faculty for 2015 (column B) to 13 from 6.</t>
  </si>
  <si>
    <t xml:space="preserve">Dec. 2011: Program note on questionnaire regarding deficit: "The expenditures are greater than income due to the timing difference between grant awards and expenditures.  Large awards received in the previous two fiscal years had carryover balances that were spent in the current reporting fiscal year." </t>
  </si>
  <si>
    <t xml:space="preserve">2018 Note: Program has followed the same approach as in 2017 for the financial entries. There is a large difference in G4 / G3 and H3 / H4 because beginning with 2018 data, the program is now including the core LIS team and the faculty academic staff who teach options/electives open to LIS students and who support their dissertation work (G3) and in H3 program includes mostly library but also other support staff who contribute to teaching, each counted as 0.5 (headcount here would be 10). </t>
  </si>
  <si>
    <t>2017 Note: The UCL financial model is that each department is a cost centre with its own annual budget covering all the department’s activities. In the context of the COA 2017 Trend Summary data spreadsheet, program has interpreted ‘Income from the Parent Institution’ to mean tuition fee income. Students pay UCL centrally and the Department’s budget is then credited with the fee income for the students it teaches.</t>
  </si>
  <si>
    <r>
      <t xml:space="preserve">2011-2014 </t>
    </r>
    <r>
      <rPr>
        <sz val="11"/>
        <rFont val="Calibri"/>
        <family val="2"/>
        <scheme val="minor"/>
      </rPr>
      <t>Note:</t>
    </r>
    <r>
      <rPr>
        <sz val="11"/>
        <color theme="1"/>
        <rFont val="Calibri"/>
        <family val="2"/>
        <scheme val="minor"/>
      </rPr>
      <t xml:space="preserve"> program note on questionnaire regarding deficit:  University covers deficit.</t>
    </r>
  </si>
  <si>
    <r>
      <t>2009 Note:</t>
    </r>
    <r>
      <rPr>
        <sz val="11"/>
        <color theme="1"/>
        <rFont val="Calibri"/>
        <family val="2"/>
        <scheme val="minor"/>
      </rPr>
      <t xml:space="preserve"> Included in the student totals, one Dominican University student completed the degree in December, 2009.  There are 8 remaining Dominican students in the program. </t>
    </r>
  </si>
  <si>
    <t>2018 note: Budget cut of 2.5% and loss of administrative postion</t>
  </si>
  <si>
    <t>2019: Column O includes the 101 FTE from Column M plus 4.9 FTE from Other Graduate category, which includes the Graduate Certificate enrollment</t>
  </si>
  <si>
    <t xml:space="preserve">2019: Column R includes those students who earned a Graduate Certificate - CARST, CRIM or CSLIB </t>
  </si>
  <si>
    <t xml:space="preserve">2019 note regarding column G: 4 faculty continue to teach part of their teaching load in the undergraduate general education core. </t>
  </si>
  <si>
    <t>2019 Notes:</t>
  </si>
  <si>
    <t>The decrease in "Total Expenditure" and increase in "Income Total" are largely due to the budget model for SLIS catching up with, and taking advantage of, the Simmons University redesign. Income Parent Institution are the FY19 budgeted expenses.</t>
  </si>
  <si>
    <t xml:space="preserve">2019: Explanation for expenditures greater than income: The carryover from program fees and federal grants covers the overage. Income Parent Institution reported is from the Parent Institution only. Income from all other sources is under Income All Other. </t>
  </si>
  <si>
    <r>
      <t xml:space="preserve">2019: Explanation for enrollment increase: TWU SLIS requested and was approved at the end of Spring 2019 of </t>
    </r>
    <r>
      <rPr>
        <b/>
        <u/>
        <sz val="11"/>
        <color theme="1"/>
        <rFont val="Calibri"/>
        <family val="2"/>
        <scheme val="minor"/>
      </rPr>
      <t>two new regular full-time faculty lines</t>
    </r>
    <r>
      <rPr>
        <sz val="11"/>
        <color theme="1"/>
        <rFont val="Calibri"/>
        <family val="2"/>
        <scheme val="minor"/>
      </rPr>
      <t xml:space="preserve"> to accommodate the enrollment increase. When the faculty searches for these new lines are complete (expected in Spring 2020), SLIS will have a total of 15 regular full-time faculty lines. The university has made a commitment to invest in SLIS faculty resources so that SLIS will continue to contribute significantly to the university strategic goal in enrollment growth, while maintaining high quality student faculty interactions.</t>
    </r>
  </si>
  <si>
    <t>$2,878,945</t>
  </si>
  <si>
    <t>2019 Note: as above in 2018</t>
  </si>
  <si>
    <t>O includes the 138 FTE from Column M plus the14.8 FTE from Other Graduate category, which includes the Graduate Certificate enrollment</t>
  </si>
  <si>
    <t xml:space="preserve">2020: Column R includes those students who earned a Graduate Certificate - CARST, CRIM or CSLIB </t>
  </si>
  <si>
    <t xml:space="preserve">2020: Column V shows 0 </t>
  </si>
  <si>
    <t>V shows zero in All Other Income because SLIS did not award scholarships in Fall 2020, but will award in Spring 2021</t>
  </si>
  <si>
    <t xml:space="preserve">2020: Column </t>
  </si>
  <si>
    <t>2020: ODS reported an error in how number of minority students enrolled had been reported. Affects Column N for 2016-2020.</t>
  </si>
  <si>
    <t>2020 note regarding Parent Institution Income vs Other Income: We previously reported income from grants, contracts, and endowments in the Other category, but are now reporting it in the Parent Instution category, per the instructions.</t>
  </si>
  <si>
    <t>2020: ALA Minority Enrollment only includes students who have indicated a race, 14 students' race is indicated as "Unknown"</t>
  </si>
  <si>
    <t xml:space="preserve">  834,684
 </t>
  </si>
  <si>
    <t xml:space="preserve">2020: Explanation for expenditures greater than income: The carryover from program fees and federal grants covers the overage. Income Parent Institution reported includes all income for this reporting period. SLIS did not have other sources of income for this reporting period.  </t>
  </si>
  <si>
    <t>2/12/2021: Cell O3 is dramatically lower than Cell O4 because the latter included Informatics Minors in the calculation.</t>
  </si>
  <si>
    <t>939, 574</t>
  </si>
  <si>
    <t xml:space="preserve">2/15/21 Note: C3 increase due to enrollment shifts following faculty reductions of previous year. </t>
  </si>
  <si>
    <t>2/15/21 Note: Decrease in O3 reflects ongoing enrollment shifts in the post-ALA Master's programs: Public Library Director Certificate Program, School Library Media cohorts, and the Ph.D. program</t>
  </si>
  <si>
    <t>2/15/21 Note: Decrease in S3 reflects staff reductions and reassignments, and shifting of costs for resources during pandemic.</t>
  </si>
  <si>
    <t>2/15/21 Note: Increase in T3 reflects ongoing enrollment in the post-Master's Public Library Director Certificate Program, School Library Media cohorts, and the Ph.D. program, as well as increased grant funding</t>
  </si>
  <si>
    <t>2/15/21 Note: V3 increase reflects ongoing installments of grant revenues</t>
  </si>
  <si>
    <t xml:space="preserve">2020: Institution has a new budget model that changed how money is allocated to schools. All money is now funneled through the University and returned to the College, then reallocated to the school. </t>
  </si>
  <si>
    <t>2020: In previous years what gets included in parent-institution has changed, with the recent changes to the ALISE survey we are submitting the data as per their changed request.  In the previous requests where parent institute was only parent  institution that the amount would be $4,626,595.</t>
  </si>
  <si>
    <t>$3,119,08</t>
  </si>
  <si>
    <t>2020 Note: Currency based on xe.com dated 08/02/2021</t>
  </si>
  <si>
    <t>Old Dominion</t>
  </si>
  <si>
    <t>*The below formulas based on IPEDS definitions were used to get PT (FTE) Faculty, PT ALA (FTE) Masters Students, and Total FTE Enrollment.</t>
  </si>
  <si>
    <t>*PT (FTE) Faculty = FT Faculty + (1/3) * PT Faculty Count</t>
  </si>
  <si>
    <t>*PT ALA (FTE) Masters Students = PT ALA (headcount) Masters Students * 0.361702</t>
  </si>
  <si>
    <t xml:space="preserve"> Numbers for ALA Masters Students reflect the MLIS currently in candidacy with ALA.</t>
  </si>
  <si>
    <t>$901, 316</t>
  </si>
  <si>
    <t>1.359.385</t>
  </si>
  <si>
    <t>Long Island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</si>
</sst>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Red]&quot;$&quot;#,##0"/>
    <numFmt numFmtId="167" formatCode="0.0"/>
    <numFmt numFmtId="168" formatCode="#,##0;[Red]#,##0"/>
    <numFmt numFmtId="169" formatCode="0.0%"/>
    <numFmt numFmtId="170" formatCode="_(&quot;$&quot;* #,##0_);_(&quot;$&quot;* \(#,##0\);_(&quot;$&quot;* &quot;-&quot;??_);_(@_)"/>
    <numFmt numFmtId="171" formatCode="\$#,##0"/>
    <numFmt numFmtId="172" formatCode="[$USD]\ #,##0"/>
    <numFmt numFmtId="173" formatCode="_-[$$-409]* #,##0.00_ ;_-[$$-409]* \-#,##0.00\ ;_-[$$-409]* &quot;-&quot;??_ ;_-@_ "/>
  </numFmts>
  <fonts count="39">
    <font>
      <sz val="11"/>
      <color theme="1"/>
      <name val="Calibri"/>
      <family val="2"/>
      <scheme val="minor"/>
    </font>
    <font>
      <sz val="11"/>
      <color theme="1"/>
      <name val="Calibri"/>
      <family val="2"/>
    </font>
    <font>
      <sz val="11"/>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u/>
      <sz val="11"/>
      <color theme="11"/>
      <name val="Calibri"/>
      <family val="2"/>
      <scheme val="minor"/>
    </font>
    <font>
      <sz val="10"/>
      <name val="Arial"/>
      <family val="2"/>
    </font>
    <font>
      <b/>
      <sz val="10"/>
      <name val="Arial"/>
      <family val="2"/>
    </font>
    <font>
      <b/>
      <sz val="8"/>
      <color indexed="81"/>
      <name val="Tahoma"/>
      <family val="2"/>
    </font>
    <font>
      <sz val="8"/>
      <color indexed="81"/>
      <name val="Tahoma"/>
      <family val="2"/>
    </font>
    <font>
      <sz val="11"/>
      <color rgb="FF000000"/>
      <name val="Calibri"/>
      <family val="2"/>
      <scheme val="minor"/>
    </font>
    <font>
      <sz val="10"/>
      <color theme="1"/>
      <name val="Calibri"/>
      <family val="2"/>
      <scheme val="minor"/>
    </font>
    <font>
      <sz val="11"/>
      <name val="Calibri"/>
      <family val="2"/>
      <scheme val="minor"/>
    </font>
    <font>
      <b/>
      <sz val="14"/>
      <color rgb="FFFFFFFF"/>
      <name val="Calibri"/>
      <family val="2"/>
    </font>
    <font>
      <b/>
      <sz val="11"/>
      <name val="Calibri"/>
      <family val="2"/>
    </font>
    <font>
      <sz val="11"/>
      <color rgb="FF000000"/>
      <name val="Calibri"/>
      <family val="2"/>
    </font>
    <font>
      <b/>
      <sz val="9"/>
      <color indexed="81"/>
      <name val="Tahoma"/>
      <family val="2"/>
    </font>
    <font>
      <sz val="9"/>
      <color indexed="81"/>
      <name val="Tahoma"/>
      <family val="2"/>
    </font>
    <font>
      <b/>
      <sz val="8"/>
      <color rgb="FF000000"/>
      <name val="Tahoma"/>
      <family val="2"/>
    </font>
    <font>
      <sz val="8"/>
      <color rgb="FF000000"/>
      <name val="Tahoma"/>
      <family val="2"/>
    </font>
    <font>
      <sz val="11"/>
      <name val="Calibri"/>
      <family val="2"/>
    </font>
    <font>
      <sz val="11"/>
      <color rgb="FF222222"/>
      <name val="Calibri"/>
      <family val="2"/>
      <scheme val="minor"/>
    </font>
    <font>
      <b/>
      <sz val="11"/>
      <color theme="1"/>
      <name val="Calibri"/>
      <family val="2"/>
      <scheme val="minor"/>
    </font>
    <font>
      <sz val="11"/>
      <name val="Calibri"/>
      <family val="2"/>
    </font>
    <font>
      <b/>
      <u/>
      <sz val="11"/>
      <color theme="1"/>
      <name val="Calibri"/>
      <family val="2"/>
      <scheme val="minor"/>
    </font>
    <font>
      <i/>
      <sz val="11"/>
      <color rgb="FF7F7F7F"/>
      <name val="Calibri"/>
      <family val="2"/>
      <scheme val="minor"/>
    </font>
    <font>
      <sz val="10"/>
      <name val="Calibri"/>
      <family val="2"/>
      <scheme val="minor"/>
    </font>
    <font>
      <b/>
      <sz val="11"/>
      <name val="Calibri"/>
      <family val="2"/>
      <charset val="1"/>
    </font>
    <font>
      <sz val="11"/>
      <name val="Calibri"/>
      <family val="2"/>
      <charset val="1"/>
    </font>
    <font>
      <b/>
      <sz val="10"/>
      <name val="Calibri"/>
      <family val="2"/>
      <scheme val="minor"/>
    </font>
    <font>
      <b/>
      <sz val="10"/>
      <color theme="1"/>
      <name val="Arial"/>
      <family val="2"/>
    </font>
    <font>
      <sz val="11"/>
      <color rgb="FF444444"/>
      <name val="Calibri"/>
      <family val="2"/>
      <charset val="1"/>
    </font>
    <font>
      <sz val="12"/>
      <color theme="1"/>
      <name val="Calibri"/>
      <family val="2"/>
      <scheme val="minor"/>
    </font>
    <font>
      <sz val="11"/>
      <color theme="1"/>
      <name val="Calibri Light"/>
      <family val="2"/>
    </font>
    <font>
      <b/>
      <sz val="11"/>
      <color rgb="FFFF0000"/>
      <name val="Calibri (Body)"/>
    </font>
    <font>
      <sz val="12"/>
      <color theme="1"/>
      <name val="Calibri (Body)"/>
    </font>
    <font>
      <b/>
      <sz val="12"/>
      <color rgb="FFFF0000"/>
      <name val="Calibri"/>
      <family val="2"/>
      <scheme val="minor"/>
    </font>
    <font>
      <sz val="10"/>
      <color rgb="FF000000"/>
      <name val="Arial"/>
    </font>
  </fonts>
  <fills count="21">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14999847407452621"/>
        <bgColor rgb="FF000000"/>
      </patternFill>
    </fill>
    <fill>
      <patternFill patternType="solid">
        <fgColor rgb="FF366092"/>
        <bgColor rgb="FF366092"/>
      </patternFill>
    </fill>
    <fill>
      <patternFill patternType="solid">
        <fgColor rgb="FFD8D8D8"/>
        <bgColor rgb="FFD8D8D8"/>
      </patternFill>
    </fill>
    <fill>
      <patternFill patternType="solid">
        <fgColor rgb="FF2F5496"/>
        <bgColor rgb="FF2F5496"/>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theme="2" tint="-9.9948118533890809E-2"/>
        <bgColor indexed="64"/>
      </patternFill>
    </fill>
    <fill>
      <patternFill patternType="solid">
        <fgColor rgb="FFD9D9D9"/>
        <bgColor rgb="FFD8D8D8"/>
      </patternFill>
    </fill>
    <fill>
      <patternFill patternType="solid">
        <fgColor theme="2" tint="-9.9978637043366805E-2"/>
        <bgColor indexed="64"/>
      </patternFill>
    </fill>
    <fill>
      <patternFill patternType="solid">
        <fgColor theme="0"/>
        <bgColor rgb="FFD8D8D8"/>
      </patternFill>
    </fill>
    <fill>
      <patternFill patternType="solid">
        <fgColor rgb="FFD0CECE"/>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rgb="FFD8D8D8"/>
      </patternFill>
    </fill>
  </fills>
  <borders count="19">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bottom style="thin">
        <color auto="1"/>
      </bottom>
      <diagonal style="thin">
        <color auto="1"/>
      </diagonal>
    </border>
    <border>
      <left style="thin">
        <color rgb="FF000000"/>
      </left>
      <right style="thin">
        <color rgb="FF000000"/>
      </right>
      <top style="thin">
        <color rgb="FF000000"/>
      </top>
      <bottom style="thin">
        <color rgb="FF000000"/>
      </bottom>
      <diagonal/>
    </border>
    <border diagonalUp="1" diagonalDown="1">
      <left style="thin">
        <color rgb="FF000000"/>
      </left>
      <right style="thin">
        <color rgb="FF000000"/>
      </right>
      <top style="thin">
        <color rgb="FF000000"/>
      </top>
      <bottom style="thin">
        <color rgb="FF000000"/>
      </bottom>
      <diagonal style="thin">
        <color rgb="FF000000"/>
      </diagonal>
    </border>
    <border diagonalUp="1" diagonalDown="1">
      <left style="thin">
        <color auto="1"/>
      </left>
      <right style="thin">
        <color auto="1"/>
      </right>
      <top style="thin">
        <color auto="1"/>
      </top>
      <bottom/>
      <diagonal style="thin">
        <color auto="1"/>
      </diagonal>
    </border>
    <border>
      <left style="thin">
        <color rgb="FF000000"/>
      </left>
      <right style="thin">
        <color rgb="FF000000"/>
      </right>
      <top style="thin">
        <color rgb="FF000000"/>
      </top>
      <bottom/>
      <diagonal/>
    </border>
    <border>
      <left style="thin">
        <color auto="1"/>
      </left>
      <right style="thin">
        <color auto="1"/>
      </right>
      <top/>
      <bottom/>
      <diagonal/>
    </border>
    <border>
      <left/>
      <right style="thin">
        <color auto="1"/>
      </right>
      <top style="thin">
        <color indexed="64"/>
      </top>
      <bottom/>
      <diagonal/>
    </border>
    <border>
      <left/>
      <right style="thin">
        <color indexed="64"/>
      </right>
      <top style="thin">
        <color rgb="FF000000"/>
      </top>
      <bottom style="thin">
        <color auto="1"/>
      </bottom>
      <diagonal/>
    </border>
    <border>
      <left style="thin">
        <color auto="1"/>
      </left>
      <right style="thin">
        <color indexed="64"/>
      </right>
      <top style="thin">
        <color rgb="FF000000"/>
      </top>
      <bottom style="thin">
        <color auto="1"/>
      </bottom>
      <diagonal/>
    </border>
  </borders>
  <cellStyleXfs count="30">
    <xf numFmtId="0" fontId="0" fillId="0" borderId="0"/>
    <xf numFmtId="44" fontId="2" fillId="0" borderId="0" applyFont="0" applyFill="0" applyBorder="0" applyAlignment="0" applyProtection="0"/>
    <xf numFmtId="0" fontId="3"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 fillId="0" borderId="0"/>
    <xf numFmtId="43" fontId="2" fillId="0" borderId="0" applyFont="0" applyFill="0" applyBorder="0" applyAlignment="0" applyProtection="0"/>
    <xf numFmtId="0" fontId="26" fillId="0" borderId="0" applyNumberFormat="0" applyFill="0" applyBorder="0" applyAlignment="0" applyProtection="0"/>
  </cellStyleXfs>
  <cellXfs count="720">
    <xf numFmtId="0" fontId="0" fillId="0" borderId="0" xfId="0"/>
    <xf numFmtId="0" fontId="4" fillId="3" borderId="0" xfId="0" applyFont="1" applyFill="1"/>
    <xf numFmtId="0" fontId="4" fillId="3" borderId="0" xfId="0" applyFont="1" applyFill="1" applyAlignment="1">
      <alignment vertical="center"/>
    </xf>
    <xf numFmtId="0" fontId="5" fillId="4" borderId="0" xfId="0" applyFont="1" applyFill="1" applyAlignment="1">
      <alignment horizontal="center" vertical="center" wrapText="1"/>
    </xf>
    <xf numFmtId="0" fontId="0" fillId="0" borderId="0" xfId="0" applyAlignment="1">
      <alignment horizontal="left"/>
    </xf>
    <xf numFmtId="0" fontId="0" fillId="0" borderId="0" xfId="0" applyBorder="1"/>
    <xf numFmtId="0" fontId="5" fillId="4"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Fill="1"/>
    <xf numFmtId="41" fontId="13" fillId="0" borderId="2" xfId="0" applyNumberFormat="1" applyFont="1" applyFill="1" applyBorder="1" applyAlignment="1">
      <alignment horizontal="center" vertical="center" wrapText="1"/>
    </xf>
    <xf numFmtId="0" fontId="13" fillId="0" borderId="0" xfId="0" applyFont="1" applyFill="1" applyAlignment="1">
      <alignment horizontal="right" wrapText="1"/>
    </xf>
    <xf numFmtId="0" fontId="13" fillId="4" borderId="2" xfId="0" applyFont="1" applyFill="1" applyBorder="1" applyAlignment="1">
      <alignment horizontal="center" wrapText="1"/>
    </xf>
    <xf numFmtId="0" fontId="13" fillId="0" borderId="0" xfId="0" applyFont="1" applyFill="1" applyAlignment="1">
      <alignment horizontal="center" wrapText="1"/>
    </xf>
    <xf numFmtId="0" fontId="0" fillId="0" borderId="0" xfId="0" applyFont="1" applyProtection="1">
      <protection locked="0"/>
    </xf>
    <xf numFmtId="0" fontId="0" fillId="0" borderId="0" xfId="0" applyProtection="1">
      <protection locked="0"/>
    </xf>
    <xf numFmtId="0" fontId="0" fillId="0" borderId="0" xfId="0" applyBorder="1" applyProtection="1">
      <protection locked="0"/>
    </xf>
    <xf numFmtId="1" fontId="0" fillId="4" borderId="2" xfId="0" applyNumberFormat="1" applyFont="1" applyFill="1" applyBorder="1" applyAlignment="1">
      <alignment horizontal="right" wrapText="1"/>
    </xf>
    <xf numFmtId="0" fontId="13" fillId="4" borderId="0" xfId="0" applyFont="1" applyFill="1" applyAlignment="1">
      <alignment horizontal="right" wrapText="1"/>
    </xf>
    <xf numFmtId="0" fontId="0" fillId="4" borderId="2" xfId="0" applyFont="1" applyFill="1" applyBorder="1" applyAlignment="1">
      <alignment horizontal="center" wrapText="1"/>
    </xf>
    <xf numFmtId="0" fontId="0" fillId="0" borderId="0" xfId="0" applyFont="1" applyAlignment="1">
      <alignment horizontal="right"/>
    </xf>
    <xf numFmtId="0" fontId="13" fillId="0" borderId="2" xfId="0" applyFont="1" applyFill="1" applyBorder="1" applyAlignment="1" applyProtection="1">
      <alignment horizontal="right" wrapText="1"/>
      <protection locked="0"/>
    </xf>
    <xf numFmtId="6" fontId="13" fillId="0" borderId="2" xfId="0" applyNumberFormat="1" applyFont="1" applyFill="1" applyBorder="1" applyAlignment="1" applyProtection="1">
      <alignment horizontal="right" wrapText="1"/>
      <protection locked="0"/>
    </xf>
    <xf numFmtId="0" fontId="0" fillId="0" borderId="0" xfId="0" applyFont="1" applyFill="1"/>
    <xf numFmtId="0" fontId="13" fillId="4" borderId="2" xfId="0" applyFont="1" applyFill="1" applyBorder="1" applyAlignment="1">
      <alignment horizontal="right" wrapText="1"/>
    </xf>
    <xf numFmtId="165" fontId="13" fillId="0" borderId="2" xfId="0" applyNumberFormat="1" applyFont="1" applyFill="1" applyBorder="1" applyAlignment="1" applyProtection="1">
      <alignment horizontal="right" wrapText="1"/>
      <protection locked="0"/>
    </xf>
    <xf numFmtId="0" fontId="5" fillId="0" borderId="0" xfId="0" applyFont="1" applyFill="1" applyBorder="1" applyAlignment="1">
      <alignment horizontal="center" vertical="center" wrapText="1"/>
    </xf>
    <xf numFmtId="0" fontId="0" fillId="0" borderId="0" xfId="0" applyFont="1"/>
    <xf numFmtId="0" fontId="5" fillId="4" borderId="2" xfId="0" applyFont="1" applyFill="1" applyBorder="1" applyAlignment="1">
      <alignment horizontal="center" wrapText="1"/>
    </xf>
    <xf numFmtId="0" fontId="5" fillId="0" borderId="2" xfId="0" applyFont="1" applyFill="1" applyBorder="1" applyAlignment="1">
      <alignment horizontal="center" vertical="center" wrapText="1"/>
    </xf>
    <xf numFmtId="0" fontId="0" fillId="4" borderId="2" xfId="0" applyFont="1" applyFill="1" applyBorder="1" applyAlignment="1">
      <alignment wrapText="1"/>
    </xf>
    <xf numFmtId="165" fontId="0" fillId="4" borderId="2" xfId="0" applyNumberFormat="1" applyFont="1" applyFill="1" applyBorder="1" applyAlignment="1">
      <alignment wrapText="1"/>
    </xf>
    <xf numFmtId="0" fontId="0" fillId="0" borderId="2" xfId="0" applyFont="1" applyFill="1" applyBorder="1" applyAlignment="1" applyProtection="1">
      <alignment horizontal="right" wrapText="1"/>
      <protection locked="0"/>
    </xf>
    <xf numFmtId="41" fontId="13" fillId="4" borderId="2" xfId="0" applyNumberFormat="1" applyFont="1" applyFill="1" applyBorder="1" applyAlignment="1">
      <alignment horizontal="center" vertical="center" wrapText="1"/>
    </xf>
    <xf numFmtId="0" fontId="13" fillId="4" borderId="2" xfId="0" applyNumberFormat="1" applyFont="1" applyFill="1" applyBorder="1" applyAlignment="1">
      <alignment horizontal="center" wrapText="1"/>
    </xf>
    <xf numFmtId="0" fontId="13" fillId="4" borderId="2" xfId="14" applyFont="1" applyFill="1" applyBorder="1" applyAlignment="1">
      <alignment horizontal="right" wrapText="1"/>
    </xf>
    <xf numFmtId="165" fontId="13" fillId="4" borderId="2" xfId="14" applyNumberFormat="1" applyFont="1" applyFill="1" applyBorder="1" applyAlignment="1">
      <alignment horizontal="right" wrapText="1"/>
    </xf>
    <xf numFmtId="1" fontId="13" fillId="4" borderId="2" xfId="14" applyNumberFormat="1" applyFont="1" applyFill="1" applyBorder="1" applyAlignment="1">
      <alignment horizontal="right" wrapText="1"/>
    </xf>
    <xf numFmtId="0" fontId="0" fillId="0" borderId="0" xfId="0" applyAlignment="1" applyProtection="1">
      <alignment horizontal="center"/>
      <protection locked="0"/>
    </xf>
    <xf numFmtId="0" fontId="8" fillId="0" borderId="1" xfId="0" applyFont="1" applyBorder="1" applyAlignment="1" applyProtection="1">
      <alignment wrapText="1"/>
      <protection locked="0"/>
    </xf>
    <xf numFmtId="0" fontId="14" fillId="7" borderId="0" xfId="0" applyFont="1" applyFill="1" applyBorder="1"/>
    <xf numFmtId="0" fontId="14" fillId="7" borderId="0" xfId="0" applyFont="1" applyFill="1" applyBorder="1" applyAlignment="1">
      <alignment vertical="center"/>
    </xf>
    <xf numFmtId="0" fontId="14" fillId="0" borderId="0" xfId="0" applyFont="1"/>
    <xf numFmtId="0" fontId="0" fillId="0" borderId="0" xfId="0" applyFont="1" applyAlignment="1"/>
    <xf numFmtId="0" fontId="15" fillId="8" borderId="11" xfId="0" applyFont="1" applyFill="1" applyBorder="1" applyAlignment="1">
      <alignment horizontal="center" vertical="center" wrapText="1"/>
    </xf>
    <xf numFmtId="0" fontId="15" fillId="0" borderId="0" xfId="0" applyFont="1" applyAlignment="1">
      <alignment horizontal="center" vertical="center" wrapText="1"/>
    </xf>
    <xf numFmtId="0" fontId="0" fillId="8" borderId="11" xfId="0" applyFont="1" applyFill="1" applyBorder="1" applyAlignment="1">
      <alignment horizontal="right" wrapText="1"/>
    </xf>
    <xf numFmtId="1" fontId="0" fillId="8" borderId="11" xfId="0" applyNumberFormat="1" applyFont="1" applyFill="1" applyBorder="1" applyAlignment="1">
      <alignment horizontal="right" wrapText="1"/>
    </xf>
    <xf numFmtId="165" fontId="0" fillId="8" borderId="11" xfId="0" applyNumberFormat="1" applyFont="1" applyFill="1" applyBorder="1" applyAlignment="1">
      <alignment horizontal="right" wrapText="1"/>
    </xf>
    <xf numFmtId="0" fontId="0" fillId="0" borderId="11" xfId="0" applyFont="1" applyBorder="1" applyAlignment="1">
      <alignment horizontal="right" wrapText="1"/>
    </xf>
    <xf numFmtId="0" fontId="0" fillId="8" borderId="12" xfId="0" applyFont="1" applyFill="1" applyBorder="1" applyAlignment="1">
      <alignment vertical="center" wrapText="1"/>
    </xf>
    <xf numFmtId="6" fontId="0" fillId="0" borderId="11" xfId="0" applyNumberFormat="1" applyFont="1" applyBorder="1" applyAlignment="1">
      <alignment horizontal="right" wrapText="1"/>
    </xf>
    <xf numFmtId="6" fontId="0" fillId="8" borderId="11" xfId="0" applyNumberFormat="1" applyFont="1" applyFill="1" applyBorder="1" applyAlignment="1">
      <alignment horizontal="right" wrapText="1"/>
    </xf>
    <xf numFmtId="5" fontId="0" fillId="0" borderId="11" xfId="0" applyNumberFormat="1" applyFont="1" applyBorder="1" applyAlignment="1">
      <alignment horizontal="right" wrapText="1"/>
    </xf>
    <xf numFmtId="0" fontId="0" fillId="0" borderId="11" xfId="0" applyFont="1" applyBorder="1" applyAlignment="1">
      <alignment wrapText="1"/>
    </xf>
    <xf numFmtId="0" fontId="0" fillId="8" borderId="11" xfId="0" applyFont="1" applyFill="1" applyBorder="1" applyAlignment="1">
      <alignment wrapText="1"/>
    </xf>
    <xf numFmtId="1" fontId="0" fillId="8" borderId="11" xfId="0" applyNumberFormat="1" applyFont="1" applyFill="1" applyBorder="1" applyAlignment="1">
      <alignment wrapText="1"/>
    </xf>
    <xf numFmtId="1" fontId="0" fillId="8" borderId="12" xfId="0" applyNumberFormat="1" applyFont="1" applyFill="1" applyBorder="1" applyAlignment="1">
      <alignment wrapText="1"/>
    </xf>
    <xf numFmtId="5" fontId="0" fillId="0" borderId="11" xfId="0" applyNumberFormat="1" applyFont="1" applyBorder="1" applyAlignment="1">
      <alignment wrapText="1"/>
    </xf>
    <xf numFmtId="165" fontId="0" fillId="8" borderId="11" xfId="0" applyNumberFormat="1" applyFont="1" applyFill="1" applyBorder="1" applyAlignment="1">
      <alignment wrapText="1"/>
    </xf>
    <xf numFmtId="1" fontId="0" fillId="0" borderId="11" xfId="0" applyNumberFormat="1" applyFont="1" applyBorder="1" applyAlignment="1">
      <alignment wrapText="1"/>
    </xf>
    <xf numFmtId="166" fontId="0" fillId="0" borderId="11" xfId="0" applyNumberFormat="1" applyFont="1" applyBorder="1" applyAlignment="1">
      <alignment wrapText="1"/>
    </xf>
    <xf numFmtId="165" fontId="0" fillId="0" borderId="11" xfId="0" applyNumberFormat="1" applyFont="1" applyBorder="1" applyAlignment="1">
      <alignment wrapText="1"/>
    </xf>
    <xf numFmtId="0" fontId="13" fillId="4" borderId="2" xfId="0" applyFont="1" applyFill="1" applyBorder="1" applyAlignment="1" applyProtection="1">
      <alignment horizontal="center" wrapText="1"/>
    </xf>
    <xf numFmtId="0" fontId="13" fillId="0" borderId="2" xfId="0" applyFont="1" applyFill="1" applyBorder="1" applyAlignment="1" applyProtection="1">
      <alignment horizontal="right" wrapText="1"/>
    </xf>
    <xf numFmtId="165" fontId="13" fillId="0" borderId="2" xfId="0" applyNumberFormat="1" applyFont="1" applyFill="1" applyBorder="1" applyAlignment="1" applyProtection="1">
      <alignment horizontal="right" wrapText="1"/>
    </xf>
    <xf numFmtId="0" fontId="13" fillId="0" borderId="0" xfId="0" applyFont="1" applyFill="1" applyAlignment="1" applyProtection="1">
      <alignment horizontal="right" wrapText="1"/>
    </xf>
    <xf numFmtId="0" fontId="0" fillId="0" borderId="0" xfId="0" applyProtection="1"/>
    <xf numFmtId="9" fontId="0" fillId="4" borderId="2" xfId="3" applyFont="1" applyFill="1" applyBorder="1" applyAlignment="1" applyProtection="1">
      <alignment wrapText="1"/>
    </xf>
    <xf numFmtId="0" fontId="11" fillId="4" borderId="2" xfId="0" applyFont="1" applyFill="1" applyBorder="1" applyAlignment="1" applyProtection="1">
      <alignment horizontal="center" wrapText="1"/>
    </xf>
    <xf numFmtId="6" fontId="13" fillId="0" borderId="2" xfId="0" applyNumberFormat="1" applyFont="1" applyFill="1" applyBorder="1" applyAlignment="1" applyProtection="1">
      <alignment horizontal="right" wrapText="1"/>
    </xf>
    <xf numFmtId="0" fontId="13" fillId="0" borderId="0" xfId="0" applyFont="1" applyFill="1" applyAlignment="1" applyProtection="1">
      <alignment horizontal="center" wrapText="1"/>
    </xf>
    <xf numFmtId="0" fontId="0" fillId="0" borderId="0" xfId="0" applyFont="1" applyProtection="1"/>
    <xf numFmtId="0" fontId="0" fillId="0" borderId="0" xfId="0" applyFont="1" applyAlignment="1" applyProtection="1">
      <alignment wrapText="1"/>
    </xf>
    <xf numFmtId="0" fontId="0" fillId="0" borderId="0" xfId="0" applyFont="1" applyAlignment="1" applyProtection="1">
      <alignment wrapText="1"/>
      <protection locked="0"/>
    </xf>
    <xf numFmtId="3" fontId="13" fillId="0" borderId="2" xfId="0" applyNumberFormat="1" applyFont="1" applyFill="1" applyBorder="1" applyAlignment="1" applyProtection="1">
      <alignment horizontal="right" wrapText="1"/>
    </xf>
    <xf numFmtId="0" fontId="13" fillId="4" borderId="0" xfId="0" applyFont="1" applyFill="1" applyAlignment="1" applyProtection="1">
      <alignment horizontal="right" wrapText="1"/>
    </xf>
    <xf numFmtId="0" fontId="2" fillId="0" borderId="0" xfId="0" applyFont="1" applyProtection="1">
      <protection locked="0"/>
    </xf>
    <xf numFmtId="0" fontId="2" fillId="0" borderId="0" xfId="0" applyFont="1"/>
    <xf numFmtId="0" fontId="13" fillId="4" borderId="0" xfId="0" applyFont="1" applyFill="1" applyAlignment="1" applyProtection="1">
      <alignment horizontal="center" vertical="center" wrapText="1"/>
    </xf>
    <xf numFmtId="0" fontId="0" fillId="0" borderId="0" xfId="0" applyFont="1" applyFill="1" applyProtection="1"/>
    <xf numFmtId="1" fontId="13" fillId="4" borderId="2" xfId="14" applyNumberFormat="1" applyFont="1" applyFill="1" applyBorder="1" applyAlignment="1" applyProtection="1">
      <alignment horizontal="right" wrapText="1"/>
    </xf>
    <xf numFmtId="0" fontId="0" fillId="4" borderId="2" xfId="0" applyFont="1" applyFill="1" applyBorder="1" applyAlignment="1" applyProtection="1">
      <alignment horizontal="right" wrapText="1"/>
    </xf>
    <xf numFmtId="1" fontId="0" fillId="4" borderId="2" xfId="0" applyNumberFormat="1" applyFont="1" applyFill="1" applyBorder="1" applyAlignment="1" applyProtection="1">
      <alignment horizontal="right" wrapText="1"/>
    </xf>
    <xf numFmtId="0" fontId="13" fillId="0" borderId="2" xfId="0" applyFont="1" applyFill="1" applyBorder="1" applyAlignment="1" applyProtection="1">
      <alignment horizontal="right" vertical="center" wrapText="1"/>
    </xf>
    <xf numFmtId="9" fontId="0" fillId="4" borderId="2" xfId="0" applyNumberFormat="1" applyFont="1" applyFill="1" applyBorder="1" applyAlignment="1" applyProtection="1">
      <alignment horizontal="right" wrapText="1"/>
    </xf>
    <xf numFmtId="165" fontId="0" fillId="4" borderId="2" xfId="0" applyNumberFormat="1" applyFont="1" applyFill="1" applyBorder="1" applyAlignment="1" applyProtection="1">
      <alignment horizontal="right" wrapText="1"/>
    </xf>
    <xf numFmtId="0" fontId="5" fillId="4" borderId="0" xfId="0" applyFont="1" applyFill="1" applyAlignment="1" applyProtection="1">
      <alignment horizontal="center" vertical="center" wrapText="1"/>
    </xf>
    <xf numFmtId="0" fontId="13" fillId="4" borderId="2" xfId="0" applyFont="1" applyFill="1" applyBorder="1" applyAlignment="1" applyProtection="1">
      <alignment horizontal="right" wrapText="1"/>
    </xf>
    <xf numFmtId="6" fontId="13" fillId="4" borderId="2" xfId="0" applyNumberFormat="1" applyFont="1" applyFill="1" applyBorder="1" applyAlignment="1" applyProtection="1">
      <alignment horizontal="right" wrapText="1"/>
    </xf>
    <xf numFmtId="0" fontId="5" fillId="0" borderId="0" xfId="0" applyFont="1" applyFill="1" applyAlignment="1" applyProtection="1">
      <alignment horizontal="center" vertical="center" wrapText="1"/>
    </xf>
    <xf numFmtId="0" fontId="0" fillId="4" borderId="2" xfId="0" applyNumberFormat="1" applyFont="1" applyFill="1" applyBorder="1" applyAlignment="1" applyProtection="1">
      <alignment horizontal="center" wrapText="1"/>
    </xf>
    <xf numFmtId="0" fontId="0" fillId="0" borderId="2" xfId="0" applyFont="1" applyFill="1" applyBorder="1" applyAlignment="1" applyProtection="1">
      <alignment horizontal="right" wrapText="1"/>
    </xf>
    <xf numFmtId="5" fontId="0" fillId="0" borderId="2" xfId="0" applyNumberFormat="1" applyFont="1" applyFill="1" applyBorder="1" applyAlignment="1" applyProtection="1">
      <alignment horizontal="right" wrapText="1"/>
    </xf>
    <xf numFmtId="0" fontId="13" fillId="0" borderId="0" xfId="0" applyFont="1" applyFill="1" applyAlignment="1" applyProtection="1">
      <alignment horizontal="center" vertical="center" wrapText="1"/>
    </xf>
    <xf numFmtId="0" fontId="0" fillId="4" borderId="2" xfId="0" applyFont="1" applyFill="1" applyBorder="1" applyAlignment="1" applyProtection="1">
      <alignment horizontal="center" wrapText="1"/>
    </xf>
    <xf numFmtId="0" fontId="13" fillId="4" borderId="2" xfId="0" applyNumberFormat="1" applyFont="1" applyFill="1" applyBorder="1" applyAlignment="1" applyProtection="1">
      <alignment horizontal="center" wrapText="1"/>
    </xf>
    <xf numFmtId="0" fontId="13" fillId="0" borderId="0" xfId="0" applyFont="1" applyFill="1" applyBorder="1" applyAlignment="1" applyProtection="1">
      <alignment horizontal="center" vertical="center" wrapText="1"/>
    </xf>
    <xf numFmtId="0" fontId="0" fillId="0" borderId="2" xfId="0" applyFont="1" applyBorder="1" applyProtection="1"/>
    <xf numFmtId="0" fontId="0" fillId="0" borderId="2" xfId="0" applyFont="1" applyBorder="1" applyProtection="1">
      <protection locked="0"/>
    </xf>
    <xf numFmtId="0" fontId="0" fillId="4" borderId="7" xfId="0" applyNumberFormat="1" applyFont="1" applyFill="1" applyBorder="1" applyAlignment="1" applyProtection="1">
      <alignment horizontal="center" wrapText="1"/>
    </xf>
    <xf numFmtId="165" fontId="13" fillId="0" borderId="2" xfId="0" applyNumberFormat="1" applyFont="1" applyFill="1" applyBorder="1" applyAlignment="1" applyProtection="1">
      <alignment wrapText="1"/>
    </xf>
    <xf numFmtId="0" fontId="5" fillId="0" borderId="0" xfId="0" applyFont="1" applyFill="1" applyAlignment="1" applyProtection="1">
      <alignment horizontal="right" wrapText="1"/>
    </xf>
    <xf numFmtId="6" fontId="0" fillId="0" borderId="2" xfId="0" applyNumberFormat="1" applyFont="1" applyFill="1" applyBorder="1" applyAlignment="1" applyProtection="1">
      <alignment horizontal="right" wrapText="1"/>
    </xf>
    <xf numFmtId="6" fontId="0" fillId="4" borderId="2" xfId="0" applyNumberFormat="1" applyFont="1" applyFill="1" applyBorder="1" applyAlignment="1" applyProtection="1">
      <alignment horizontal="right" wrapText="1"/>
    </xf>
    <xf numFmtId="0" fontId="13" fillId="0" borderId="0" xfId="0" applyFont="1" applyFill="1" applyAlignment="1" applyProtection="1">
      <alignment horizontal="right" vertical="center" wrapText="1"/>
    </xf>
    <xf numFmtId="0" fontId="0" fillId="0" borderId="0" xfId="0" applyFont="1" applyFill="1" applyAlignment="1" applyProtection="1">
      <alignment horizontal="right"/>
    </xf>
    <xf numFmtId="0" fontId="13" fillId="6" borderId="6" xfId="0" applyFont="1" applyFill="1" applyBorder="1" applyAlignment="1" applyProtection="1">
      <alignment horizontal="center" wrapText="1"/>
    </xf>
    <xf numFmtId="0" fontId="13" fillId="6" borderId="6" xfId="0" applyNumberFormat="1" applyFont="1" applyFill="1" applyBorder="1" applyAlignment="1" applyProtection="1">
      <alignment horizontal="center" wrapText="1"/>
    </xf>
    <xf numFmtId="0" fontId="0" fillId="4" borderId="2" xfId="0" applyFont="1" applyFill="1" applyBorder="1" applyAlignment="1" applyProtection="1">
      <alignment wrapText="1"/>
    </xf>
    <xf numFmtId="1" fontId="0" fillId="4" borderId="2" xfId="0" applyNumberFormat="1" applyFont="1" applyFill="1" applyBorder="1" applyAlignment="1" applyProtection="1">
      <alignment wrapText="1"/>
    </xf>
    <xf numFmtId="165" fontId="0" fillId="4" borderId="2" xfId="0" applyNumberFormat="1" applyFont="1" applyFill="1" applyBorder="1" applyAlignment="1" applyProtection="1">
      <alignment wrapText="1"/>
    </xf>
    <xf numFmtId="0" fontId="0" fillId="4" borderId="9" xfId="0" applyFont="1" applyFill="1" applyBorder="1" applyAlignment="1" applyProtection="1">
      <alignment vertical="center" wrapText="1"/>
    </xf>
    <xf numFmtId="5" fontId="0" fillId="0" borderId="2" xfId="0" applyNumberFormat="1" applyFont="1" applyFill="1" applyBorder="1" applyAlignment="1" applyProtection="1">
      <alignment wrapText="1"/>
    </xf>
    <xf numFmtId="1" fontId="0" fillId="4" borderId="9" xfId="0" applyNumberFormat="1" applyFont="1" applyFill="1" applyBorder="1" applyAlignment="1" applyProtection="1">
      <alignment wrapText="1"/>
    </xf>
    <xf numFmtId="0" fontId="0" fillId="0" borderId="2" xfId="22" applyFont="1" applyFill="1" applyBorder="1" applyAlignment="1" applyProtection="1">
      <alignment wrapText="1"/>
    </xf>
    <xf numFmtId="0" fontId="0" fillId="4" borderId="2" xfId="22" applyFont="1" applyFill="1" applyBorder="1" applyAlignment="1" applyProtection="1">
      <alignment wrapText="1"/>
    </xf>
    <xf numFmtId="1" fontId="0" fillId="4" borderId="2" xfId="22" applyNumberFormat="1" applyFont="1" applyFill="1" applyBorder="1" applyAlignment="1" applyProtection="1">
      <alignment wrapText="1"/>
    </xf>
    <xf numFmtId="0" fontId="13" fillId="4" borderId="2" xfId="0" applyNumberFormat="1" applyFont="1" applyFill="1" applyBorder="1" applyAlignment="1" applyProtection="1">
      <alignment wrapText="1"/>
    </xf>
    <xf numFmtId="1" fontId="13" fillId="4" borderId="2" xfId="0" applyNumberFormat="1" applyFont="1" applyFill="1" applyBorder="1" applyAlignment="1" applyProtection="1">
      <alignment wrapText="1"/>
    </xf>
    <xf numFmtId="164" fontId="13" fillId="0" borderId="2" xfId="0" applyNumberFormat="1" applyFont="1" applyFill="1" applyBorder="1" applyAlignment="1" applyProtection="1">
      <alignment wrapText="1"/>
    </xf>
    <xf numFmtId="165" fontId="13" fillId="4" borderId="2" xfId="0" applyNumberFormat="1" applyFont="1" applyFill="1" applyBorder="1" applyAlignment="1" applyProtection="1">
      <alignment wrapText="1"/>
    </xf>
    <xf numFmtId="0" fontId="13" fillId="0" borderId="0" xfId="0" applyFont="1" applyProtection="1"/>
    <xf numFmtId="0" fontId="5" fillId="4" borderId="4" xfId="0" applyFont="1" applyFill="1" applyBorder="1" applyAlignment="1">
      <alignment horizontal="center" vertical="center" wrapText="1"/>
    </xf>
    <xf numFmtId="0" fontId="4" fillId="0" borderId="0" xfId="0" applyFont="1" applyFill="1" applyBorder="1"/>
    <xf numFmtId="0" fontId="13" fillId="0" borderId="0" xfId="0" applyFont="1" applyFill="1" applyBorder="1" applyAlignment="1">
      <alignment horizontal="right" wrapText="1"/>
    </xf>
    <xf numFmtId="0" fontId="13" fillId="0" borderId="0" xfId="0" applyFont="1" applyFill="1" applyBorder="1" applyAlignment="1" applyProtection="1">
      <alignment horizontal="right" wrapText="1"/>
    </xf>
    <xf numFmtId="0" fontId="0" fillId="0" borderId="0" xfId="0" applyFont="1" applyBorder="1" applyProtection="1"/>
    <xf numFmtId="0" fontId="0" fillId="0" borderId="0" xfId="22" applyFont="1" applyBorder="1" applyProtection="1"/>
    <xf numFmtId="0" fontId="13" fillId="0" borderId="0" xfId="0" applyFont="1" applyBorder="1" applyProtection="1"/>
    <xf numFmtId="165" fontId="13" fillId="0" borderId="4" xfId="0" applyNumberFormat="1" applyFont="1" applyFill="1" applyBorder="1" applyAlignment="1" applyProtection="1">
      <alignment horizontal="right" wrapText="1"/>
    </xf>
    <xf numFmtId="6" fontId="13" fillId="0" borderId="4" xfId="0" applyNumberFormat="1" applyFont="1" applyFill="1" applyBorder="1" applyAlignment="1" applyProtection="1">
      <alignment horizontal="right" wrapText="1"/>
    </xf>
    <xf numFmtId="5" fontId="0" fillId="0" borderId="4" xfId="0" applyNumberFormat="1" applyFont="1" applyFill="1" applyBorder="1" applyAlignment="1" applyProtection="1">
      <alignment wrapText="1"/>
    </xf>
    <xf numFmtId="165" fontId="13" fillId="0" borderId="4" xfId="0" applyNumberFormat="1" applyFont="1" applyFill="1" applyBorder="1" applyAlignment="1" applyProtection="1">
      <alignment wrapText="1"/>
    </xf>
    <xf numFmtId="0" fontId="4" fillId="3" borderId="2" xfId="0" applyFont="1" applyFill="1" applyBorder="1"/>
    <xf numFmtId="0" fontId="0" fillId="0" borderId="0" xfId="0" applyFont="1" applyAlignment="1" applyProtection="1"/>
    <xf numFmtId="0" fontId="0" fillId="0" borderId="0" xfId="0" applyFont="1" applyAlignment="1" applyProtection="1">
      <alignment vertical="top"/>
    </xf>
    <xf numFmtId="0" fontId="0" fillId="0" borderId="0" xfId="0" applyFont="1" applyFill="1" applyBorder="1" applyProtection="1"/>
    <xf numFmtId="5" fontId="13" fillId="0" borderId="2" xfId="1" applyNumberFormat="1" applyFont="1" applyFill="1" applyBorder="1" applyAlignment="1" applyProtection="1">
      <alignment horizontal="right" wrapText="1"/>
    </xf>
    <xf numFmtId="5" fontId="0" fillId="4" borderId="2" xfId="1" applyNumberFormat="1" applyFont="1" applyFill="1" applyBorder="1" applyAlignment="1" applyProtection="1">
      <alignment horizontal="right" wrapText="1"/>
    </xf>
    <xf numFmtId="0" fontId="0" fillId="0" borderId="2" xfId="0" applyFont="1" applyFill="1" applyBorder="1" applyAlignment="1">
      <alignment wrapText="1"/>
    </xf>
    <xf numFmtId="2" fontId="13" fillId="4" borderId="2" xfId="14" applyNumberFormat="1" applyFont="1" applyFill="1" applyBorder="1" applyAlignment="1">
      <alignment horizontal="right" wrapText="1"/>
    </xf>
    <xf numFmtId="0" fontId="13" fillId="4" borderId="2" xfId="0" applyNumberFormat="1" applyFont="1" applyFill="1" applyBorder="1" applyAlignment="1">
      <alignment horizontal="center" vertical="center" wrapText="1"/>
    </xf>
    <xf numFmtId="0" fontId="13" fillId="4" borderId="2" xfId="0" applyFont="1" applyFill="1" applyBorder="1" applyAlignment="1" applyProtection="1">
      <alignment horizontal="right" vertical="center" wrapText="1"/>
    </xf>
    <xf numFmtId="0" fontId="13" fillId="4" borderId="2" xfId="0" applyNumberFormat="1" applyFont="1" applyFill="1" applyBorder="1" applyAlignment="1" applyProtection="1">
      <alignment horizontal="center" vertical="center" wrapText="1"/>
    </xf>
    <xf numFmtId="0" fontId="0" fillId="4" borderId="2" xfId="0" applyNumberFormat="1" applyFont="1" applyFill="1" applyBorder="1" applyAlignment="1" applyProtection="1">
      <alignment horizontal="center" vertical="center" wrapText="1"/>
    </xf>
    <xf numFmtId="0" fontId="0" fillId="2" borderId="0" xfId="0" applyFont="1" applyFill="1" applyProtection="1"/>
    <xf numFmtId="1" fontId="13" fillId="4" borderId="2" xfId="0" applyNumberFormat="1" applyFont="1" applyFill="1" applyBorder="1" applyAlignment="1" applyProtection="1">
      <alignment horizontal="right" wrapText="1"/>
    </xf>
    <xf numFmtId="5" fontId="13" fillId="0" borderId="2" xfId="0" applyNumberFormat="1" applyFont="1" applyFill="1" applyBorder="1" applyAlignment="1" applyProtection="1">
      <alignment horizontal="right" wrapText="1"/>
    </xf>
    <xf numFmtId="165" fontId="13" fillId="4" borderId="2" xfId="0" applyNumberFormat="1" applyFont="1" applyFill="1" applyBorder="1" applyAlignment="1" applyProtection="1">
      <alignment horizontal="right" wrapText="1"/>
    </xf>
    <xf numFmtId="0" fontId="13" fillId="4" borderId="2" xfId="0" applyFont="1" applyFill="1" applyBorder="1" applyAlignment="1" applyProtection="1">
      <alignment wrapText="1"/>
    </xf>
    <xf numFmtId="5" fontId="13" fillId="0" borderId="2" xfId="0" applyNumberFormat="1" applyFont="1" applyFill="1" applyBorder="1" applyAlignment="1" applyProtection="1">
      <alignment wrapText="1"/>
    </xf>
    <xf numFmtId="0" fontId="13" fillId="6" borderId="2" xfId="0" applyFont="1" applyFill="1" applyBorder="1" applyAlignment="1" applyProtection="1">
      <alignment horizontal="center" wrapText="1"/>
    </xf>
    <xf numFmtId="0" fontId="13" fillId="6" borderId="2" xfId="0" applyNumberFormat="1" applyFont="1" applyFill="1" applyBorder="1" applyAlignment="1" applyProtection="1">
      <alignment horizontal="center" wrapText="1"/>
    </xf>
    <xf numFmtId="5" fontId="13" fillId="4" borderId="2" xfId="1" applyNumberFormat="1" applyFont="1" applyFill="1" applyBorder="1" applyAlignment="1" applyProtection="1">
      <alignment horizontal="right" wrapText="1"/>
    </xf>
    <xf numFmtId="9" fontId="13" fillId="4" borderId="2" xfId="3" applyFont="1" applyFill="1" applyBorder="1" applyAlignment="1" applyProtection="1">
      <alignment horizontal="right" wrapText="1"/>
    </xf>
    <xf numFmtId="1" fontId="13" fillId="0" borderId="2" xfId="0" applyNumberFormat="1" applyFont="1" applyFill="1" applyBorder="1" applyAlignment="1" applyProtection="1">
      <alignment horizontal="right" wrapText="1"/>
    </xf>
    <xf numFmtId="6" fontId="0" fillId="0" borderId="2" xfId="1" applyNumberFormat="1" applyFont="1" applyFill="1" applyBorder="1" applyAlignment="1" applyProtection="1">
      <alignment horizontal="right" wrapText="1"/>
    </xf>
    <xf numFmtId="6" fontId="0" fillId="0" borderId="2" xfId="1" applyNumberFormat="1" applyFont="1" applyFill="1" applyBorder="1" applyAlignment="1" applyProtection="1">
      <alignment wrapText="1"/>
    </xf>
    <xf numFmtId="0" fontId="0" fillId="4" borderId="2" xfId="0" applyFont="1" applyFill="1" applyBorder="1" applyAlignment="1" applyProtection="1">
      <alignment vertical="center" wrapText="1"/>
    </xf>
    <xf numFmtId="2" fontId="0" fillId="4" borderId="2" xfId="0" applyNumberFormat="1" applyFont="1" applyFill="1" applyBorder="1" applyAlignment="1" applyProtection="1">
      <alignment vertical="center" wrapText="1"/>
    </xf>
    <xf numFmtId="2" fontId="13" fillId="4" borderId="2" xfId="0" applyNumberFormat="1" applyFont="1" applyFill="1" applyBorder="1" applyAlignment="1" applyProtection="1">
      <alignment horizontal="right" wrapText="1"/>
    </xf>
    <xf numFmtId="0" fontId="0" fillId="0" borderId="2" xfId="0" applyFont="1" applyFill="1" applyBorder="1" applyAlignment="1" applyProtection="1">
      <alignment vertical="center" wrapText="1"/>
    </xf>
    <xf numFmtId="5" fontId="0" fillId="0" borderId="2" xfId="0" applyNumberFormat="1" applyFont="1" applyFill="1" applyBorder="1" applyAlignment="1" applyProtection="1">
      <alignment horizontal="right" wrapText="1"/>
      <protection locked="0"/>
    </xf>
    <xf numFmtId="2" fontId="0" fillId="4" borderId="2" xfId="0" applyNumberFormat="1" applyFont="1" applyFill="1" applyBorder="1" applyAlignment="1" applyProtection="1">
      <alignment horizontal="right" wrapText="1"/>
    </xf>
    <xf numFmtId="1" fontId="0" fillId="0" borderId="2" xfId="0" applyNumberFormat="1" applyFont="1" applyFill="1" applyBorder="1" applyAlignment="1" applyProtection="1">
      <alignment horizontal="right" wrapText="1"/>
    </xf>
    <xf numFmtId="0" fontId="2" fillId="0" borderId="1" xfId="0" applyFont="1" applyBorder="1" applyAlignment="1" applyProtection="1">
      <protection locked="0"/>
    </xf>
    <xf numFmtId="0" fontId="13" fillId="0" borderId="2" xfId="0" applyFont="1" applyFill="1" applyBorder="1" applyAlignment="1" applyProtection="1">
      <alignment horizontal="right"/>
    </xf>
    <xf numFmtId="0" fontId="13" fillId="4" borderId="2" xfId="0" applyFont="1" applyFill="1" applyBorder="1" applyAlignment="1" applyProtection="1">
      <alignment horizontal="right"/>
    </xf>
    <xf numFmtId="0" fontId="0" fillId="0" borderId="0" xfId="0" applyFont="1" applyAlignment="1" applyProtection="1">
      <alignment horizontal="right"/>
    </xf>
    <xf numFmtId="0" fontId="0" fillId="0" borderId="0" xfId="0" applyFont="1" applyAlignment="1" applyProtection="1">
      <protection locked="0"/>
    </xf>
    <xf numFmtId="49" fontId="0" fillId="0" borderId="0" xfId="0" applyNumberFormat="1" applyFont="1" applyFill="1" applyBorder="1" applyAlignment="1" applyProtection="1">
      <alignment horizontal="right" wrapText="1"/>
    </xf>
    <xf numFmtId="49" fontId="0" fillId="0" borderId="0" xfId="0" applyNumberFormat="1" applyFont="1" applyAlignment="1" applyProtection="1">
      <alignment horizontal="right"/>
    </xf>
    <xf numFmtId="1" fontId="0" fillId="4" borderId="2" xfId="0" applyNumberFormat="1" applyFont="1" applyFill="1" applyBorder="1" applyAlignment="1">
      <alignment wrapText="1"/>
    </xf>
    <xf numFmtId="0" fontId="0" fillId="0" borderId="2" xfId="0" applyFont="1" applyFill="1" applyBorder="1" applyAlignment="1">
      <alignment vertical="center" wrapText="1"/>
    </xf>
    <xf numFmtId="0" fontId="0" fillId="4" borderId="2" xfId="0" applyFont="1" applyFill="1" applyBorder="1" applyAlignment="1">
      <alignment vertical="center" wrapText="1"/>
    </xf>
    <xf numFmtId="0" fontId="0" fillId="4" borderId="9" xfId="0" applyFont="1" applyFill="1" applyBorder="1" applyAlignment="1">
      <alignment vertical="center" wrapText="1"/>
    </xf>
    <xf numFmtId="0" fontId="0" fillId="4" borderId="2" xfId="0" applyNumberFormat="1" applyFont="1" applyFill="1" applyBorder="1" applyAlignment="1">
      <alignment horizontal="center" wrapText="1"/>
    </xf>
    <xf numFmtId="1" fontId="0" fillId="4" borderId="9" xfId="0" applyNumberFormat="1" applyFont="1" applyFill="1" applyBorder="1" applyAlignment="1">
      <alignment wrapText="1"/>
    </xf>
    <xf numFmtId="1" fontId="0" fillId="0" borderId="2" xfId="0" applyNumberFormat="1" applyFont="1" applyFill="1" applyBorder="1" applyAlignment="1">
      <alignment wrapText="1"/>
    </xf>
    <xf numFmtId="5" fontId="0" fillId="0" borderId="2" xfId="0" applyNumberFormat="1" applyFont="1" applyFill="1" applyBorder="1" applyAlignment="1">
      <alignment wrapText="1"/>
    </xf>
    <xf numFmtId="0" fontId="0" fillId="4" borderId="2" xfId="0" applyNumberFormat="1" applyFont="1" applyFill="1" applyBorder="1" applyAlignment="1">
      <alignment wrapText="1"/>
    </xf>
    <xf numFmtId="0" fontId="0" fillId="0" borderId="2" xfId="0" applyNumberFormat="1" applyFont="1" applyFill="1" applyBorder="1" applyAlignment="1">
      <alignment wrapText="1"/>
    </xf>
    <xf numFmtId="165" fontId="0" fillId="0" borderId="2" xfId="0" applyNumberFormat="1" applyFont="1" applyFill="1" applyBorder="1" applyAlignment="1">
      <alignment wrapText="1"/>
    </xf>
    <xf numFmtId="10" fontId="0" fillId="4" borderId="2" xfId="0" applyNumberFormat="1" applyFont="1" applyFill="1" applyBorder="1" applyAlignment="1">
      <alignment wrapText="1"/>
    </xf>
    <xf numFmtId="10" fontId="0" fillId="4" borderId="2" xfId="0" applyNumberFormat="1" applyFont="1" applyFill="1" applyBorder="1" applyAlignment="1">
      <alignment horizontal="right" wrapText="1"/>
    </xf>
    <xf numFmtId="10" fontId="13" fillId="4" borderId="2" xfId="14" applyNumberFormat="1" applyFont="1" applyFill="1" applyBorder="1" applyAlignment="1" applyProtection="1">
      <alignment horizontal="right" wrapText="1"/>
    </xf>
    <xf numFmtId="0" fontId="0" fillId="0" borderId="0" xfId="0" applyFont="1" applyFill="1" applyProtection="1">
      <protection locked="0"/>
    </xf>
    <xf numFmtId="0" fontId="0" fillId="4" borderId="2" xfId="0" applyFont="1" applyFill="1" applyBorder="1" applyAlignment="1">
      <alignment horizontal="right" wrapText="1"/>
    </xf>
    <xf numFmtId="165" fontId="0" fillId="4" borderId="2" xfId="0" applyNumberFormat="1" applyFont="1" applyFill="1" applyBorder="1" applyAlignment="1">
      <alignment horizontal="right" wrapText="1"/>
    </xf>
    <xf numFmtId="0" fontId="0" fillId="0" borderId="0" xfId="0" applyFont="1" applyFill="1" applyAlignment="1"/>
    <xf numFmtId="0" fontId="0" fillId="0" borderId="0" xfId="0" applyFont="1" applyFill="1" applyAlignment="1">
      <alignment wrapText="1"/>
    </xf>
    <xf numFmtId="0" fontId="0" fillId="4" borderId="9" xfId="0" applyFont="1" applyFill="1" applyBorder="1" applyAlignment="1" applyProtection="1">
      <alignment wrapText="1"/>
    </xf>
    <xf numFmtId="165" fontId="0" fillId="0" borderId="2" xfId="0" applyNumberFormat="1" applyFont="1" applyFill="1" applyBorder="1" applyAlignment="1" applyProtection="1">
      <alignment wrapText="1"/>
    </xf>
    <xf numFmtId="1" fontId="0" fillId="0" borderId="2" xfId="0" applyNumberFormat="1" applyFont="1" applyFill="1" applyBorder="1" applyAlignment="1" applyProtection="1">
      <alignment wrapText="1"/>
    </xf>
    <xf numFmtId="0" fontId="0" fillId="4" borderId="2" xfId="0" applyNumberFormat="1" applyFont="1" applyFill="1" applyBorder="1" applyAlignment="1" applyProtection="1">
      <alignment wrapText="1"/>
    </xf>
    <xf numFmtId="0" fontId="0" fillId="0" borderId="2" xfId="0" applyNumberFormat="1" applyFont="1" applyFill="1" applyBorder="1" applyAlignment="1" applyProtection="1">
      <alignment wrapText="1"/>
    </xf>
    <xf numFmtId="0" fontId="0" fillId="4" borderId="2" xfId="0" applyNumberFormat="1" applyFont="1" applyFill="1" applyBorder="1" applyAlignment="1" applyProtection="1">
      <alignment horizontal="right" wrapText="1"/>
    </xf>
    <xf numFmtId="165" fontId="0" fillId="0" borderId="2" xfId="0" applyNumberFormat="1" applyFont="1" applyFill="1" applyBorder="1" applyAlignment="1" applyProtection="1">
      <alignment horizontal="right" wrapText="1"/>
    </xf>
    <xf numFmtId="1" fontId="0" fillId="4" borderId="2" xfId="0" applyNumberFormat="1" applyFont="1" applyFill="1" applyBorder="1" applyAlignment="1" applyProtection="1">
      <alignment horizontal="right" vertical="center" wrapText="1"/>
    </xf>
    <xf numFmtId="0" fontId="0" fillId="0" borderId="2" xfId="0" applyFont="1" applyFill="1" applyBorder="1" applyAlignment="1" applyProtection="1">
      <alignment horizontal="right" vertical="center" wrapText="1"/>
    </xf>
    <xf numFmtId="0" fontId="0" fillId="4" borderId="2" xfId="0" applyFont="1" applyFill="1" applyBorder="1" applyAlignment="1" applyProtection="1">
      <alignment horizontal="right" vertical="center" wrapText="1"/>
    </xf>
    <xf numFmtId="165" fontId="0" fillId="0" borderId="2" xfId="0" applyNumberFormat="1" applyFont="1" applyFill="1" applyBorder="1" applyAlignment="1" applyProtection="1">
      <alignment horizontal="right" vertical="center" wrapText="1"/>
    </xf>
    <xf numFmtId="165" fontId="0" fillId="4" borderId="2" xfId="0" applyNumberFormat="1" applyFont="1" applyFill="1" applyBorder="1" applyAlignment="1" applyProtection="1">
      <alignment horizontal="right" vertical="center" wrapText="1"/>
    </xf>
    <xf numFmtId="1" fontId="0" fillId="4" borderId="2" xfId="0" applyNumberFormat="1" applyFont="1" applyFill="1" applyBorder="1" applyAlignment="1" applyProtection="1">
      <alignment vertical="center" wrapText="1"/>
    </xf>
    <xf numFmtId="1" fontId="0" fillId="0" borderId="2" xfId="0" applyNumberFormat="1" applyFont="1" applyFill="1" applyBorder="1" applyAlignment="1" applyProtection="1">
      <alignment vertical="center" wrapText="1"/>
    </xf>
    <xf numFmtId="165" fontId="0" fillId="0" borderId="2" xfId="0" applyNumberFormat="1" applyFont="1" applyFill="1" applyBorder="1" applyAlignment="1" applyProtection="1">
      <alignment vertical="center" wrapText="1"/>
    </xf>
    <xf numFmtId="165" fontId="0" fillId="4" borderId="2" xfId="0" applyNumberFormat="1" applyFont="1" applyFill="1" applyBorder="1" applyAlignment="1" applyProtection="1">
      <alignment vertical="center" wrapText="1"/>
    </xf>
    <xf numFmtId="2" fontId="0" fillId="0" borderId="2" xfId="0" applyNumberFormat="1" applyFont="1" applyFill="1" applyBorder="1" applyAlignment="1" applyProtection="1">
      <alignment wrapText="1"/>
    </xf>
    <xf numFmtId="166" fontId="0" fillId="0" borderId="2" xfId="0" applyNumberFormat="1" applyFont="1" applyFill="1" applyBorder="1" applyAlignment="1" applyProtection="1">
      <alignment wrapText="1"/>
    </xf>
    <xf numFmtId="0" fontId="0" fillId="2" borderId="0" xfId="0" applyFont="1" applyFill="1" applyAlignment="1" applyProtection="1">
      <alignment horizontal="right"/>
    </xf>
    <xf numFmtId="49" fontId="13" fillId="4" borderId="2" xfId="0" applyNumberFormat="1" applyFont="1" applyFill="1" applyBorder="1" applyAlignment="1" applyProtection="1">
      <alignment horizontal="center" wrapText="1"/>
    </xf>
    <xf numFmtId="2" fontId="0" fillId="4" borderId="2" xfId="0" applyNumberFormat="1" applyFont="1" applyFill="1" applyBorder="1" applyAlignment="1">
      <alignment horizontal="right" wrapText="1"/>
    </xf>
    <xf numFmtId="2" fontId="0" fillId="4" borderId="2" xfId="0" applyNumberFormat="1" applyFont="1" applyFill="1" applyBorder="1" applyAlignment="1" applyProtection="1">
      <alignment wrapText="1"/>
    </xf>
    <xf numFmtId="0" fontId="2" fillId="0" borderId="0" xfId="0" applyFont="1" applyFill="1" applyProtection="1">
      <protection locked="0"/>
    </xf>
    <xf numFmtId="0" fontId="2" fillId="0" borderId="0" xfId="0" applyFont="1" applyFill="1"/>
    <xf numFmtId="0" fontId="13" fillId="0" borderId="2" xfId="0" applyNumberFormat="1" applyFont="1" applyFill="1" applyBorder="1" applyAlignment="1" applyProtection="1">
      <alignment wrapText="1"/>
    </xf>
    <xf numFmtId="2" fontId="13" fillId="4" borderId="2" xfId="0" applyNumberFormat="1" applyFont="1" applyFill="1" applyBorder="1" applyAlignment="1" applyProtection="1">
      <alignment wrapText="1"/>
    </xf>
    <xf numFmtId="0" fontId="0" fillId="4" borderId="0" xfId="0" applyFont="1" applyFill="1" applyProtection="1"/>
    <xf numFmtId="167" fontId="0" fillId="4" borderId="2" xfId="0" applyNumberFormat="1" applyFont="1" applyFill="1" applyBorder="1" applyAlignment="1">
      <alignment wrapText="1"/>
    </xf>
    <xf numFmtId="167" fontId="0" fillId="4" borderId="2" xfId="0" applyNumberFormat="1" applyFont="1" applyFill="1" applyBorder="1" applyAlignment="1" applyProtection="1">
      <alignment wrapText="1"/>
    </xf>
    <xf numFmtId="165" fontId="0" fillId="0" borderId="2" xfId="0" applyNumberFormat="1" applyFont="1" applyFill="1" applyBorder="1" applyProtection="1"/>
    <xf numFmtId="165" fontId="0" fillId="0" borderId="0" xfId="0" applyNumberFormat="1" applyFont="1" applyFill="1" applyProtection="1"/>
    <xf numFmtId="5" fontId="13" fillId="0" borderId="2" xfId="1" applyNumberFormat="1" applyFont="1" applyFill="1" applyBorder="1" applyProtection="1"/>
    <xf numFmtId="0" fontId="13" fillId="4" borderId="2" xfId="14" applyFont="1" applyFill="1" applyBorder="1" applyAlignment="1" applyProtection="1">
      <alignment horizontal="right" wrapText="1"/>
    </xf>
    <xf numFmtId="165" fontId="13" fillId="4" borderId="2" xfId="14" applyNumberFormat="1" applyFont="1" applyFill="1" applyBorder="1" applyAlignment="1" applyProtection="1">
      <alignment horizontal="right" wrapText="1"/>
    </xf>
    <xf numFmtId="0" fontId="13" fillId="0" borderId="2" xfId="14" applyNumberFormat="1" applyFont="1" applyFill="1" applyBorder="1" applyAlignment="1" applyProtection="1">
      <alignment horizontal="right" wrapText="1"/>
    </xf>
    <xf numFmtId="0" fontId="13" fillId="0" borderId="2" xfId="14" applyFont="1" applyFill="1" applyBorder="1" applyAlignment="1" applyProtection="1">
      <alignment wrapText="1"/>
    </xf>
    <xf numFmtId="0" fontId="13" fillId="4" borderId="2" xfId="14" applyFont="1" applyFill="1" applyBorder="1" applyAlignment="1" applyProtection="1">
      <alignment wrapText="1"/>
    </xf>
    <xf numFmtId="1" fontId="13" fillId="4" borderId="2" xfId="14" applyNumberFormat="1" applyFont="1" applyFill="1" applyBorder="1" applyAlignment="1" applyProtection="1">
      <alignment wrapText="1"/>
    </xf>
    <xf numFmtId="5" fontId="13" fillId="0" borderId="2" xfId="14" applyNumberFormat="1" applyFont="1" applyFill="1" applyBorder="1" applyAlignment="1" applyProtection="1">
      <alignment wrapText="1"/>
    </xf>
    <xf numFmtId="165" fontId="13" fillId="4" borderId="2" xfId="14" applyNumberFormat="1" applyFont="1" applyFill="1" applyBorder="1" applyAlignment="1" applyProtection="1">
      <alignment wrapText="1"/>
    </xf>
    <xf numFmtId="0" fontId="13" fillId="0" borderId="0" xfId="14" applyFont="1" applyProtection="1"/>
    <xf numFmtId="0" fontId="13" fillId="4" borderId="2" xfId="14" applyNumberFormat="1" applyFont="1" applyFill="1" applyBorder="1" applyAlignment="1" applyProtection="1">
      <alignment wrapText="1"/>
    </xf>
    <xf numFmtId="165" fontId="13" fillId="0" borderId="2" xfId="14" applyNumberFormat="1" applyFont="1" applyFill="1" applyBorder="1" applyAlignment="1" applyProtection="1">
      <alignment wrapText="1"/>
    </xf>
    <xf numFmtId="0" fontId="13" fillId="0" borderId="0" xfId="14" applyFont="1" applyBorder="1" applyAlignment="1" applyProtection="1">
      <alignment wrapText="1"/>
    </xf>
    <xf numFmtId="0" fontId="13" fillId="0" borderId="0" xfId="14" applyFont="1" applyBorder="1" applyProtection="1"/>
    <xf numFmtId="0" fontId="13" fillId="4" borderId="2" xfId="14" applyNumberFormat="1" applyFont="1" applyFill="1" applyBorder="1" applyAlignment="1" applyProtection="1">
      <alignment horizontal="center" wrapText="1"/>
    </xf>
    <xf numFmtId="0" fontId="13" fillId="0" borderId="2" xfId="14" applyNumberFormat="1" applyFont="1" applyFill="1" applyBorder="1" applyAlignment="1" applyProtection="1">
      <alignment wrapText="1"/>
    </xf>
    <xf numFmtId="0" fontId="0" fillId="4" borderId="9" xfId="0" applyFont="1" applyFill="1" applyBorder="1" applyAlignment="1" applyProtection="1">
      <alignment horizontal="right" wrapText="1"/>
    </xf>
    <xf numFmtId="165" fontId="0" fillId="0" borderId="2" xfId="0" applyNumberFormat="1" applyFont="1" applyBorder="1" applyAlignment="1" applyProtection="1">
      <alignment wrapText="1"/>
    </xf>
    <xf numFmtId="0" fontId="13" fillId="0" borderId="2" xfId="0" applyFont="1" applyFill="1" applyBorder="1" applyProtection="1"/>
    <xf numFmtId="6" fontId="0" fillId="4" borderId="2" xfId="0" applyNumberFormat="1" applyFont="1" applyFill="1" applyBorder="1" applyAlignment="1" applyProtection="1">
      <alignment vertical="center" wrapText="1"/>
    </xf>
    <xf numFmtId="0" fontId="0" fillId="0" borderId="9" xfId="0" applyFont="1" applyFill="1" applyBorder="1" applyAlignment="1" applyProtection="1">
      <alignment vertical="center" wrapText="1"/>
    </xf>
    <xf numFmtId="6" fontId="0" fillId="0" borderId="2" xfId="0" applyNumberFormat="1" applyFont="1" applyFill="1" applyBorder="1" applyAlignment="1" applyProtection="1">
      <alignment vertical="center" wrapText="1"/>
    </xf>
    <xf numFmtId="0" fontId="21" fillId="4" borderId="2" xfId="0" applyFont="1" applyFill="1" applyBorder="1" applyAlignment="1">
      <alignment horizontal="center" wrapText="1"/>
    </xf>
    <xf numFmtId="0" fontId="21" fillId="4" borderId="2" xfId="14" applyFont="1" applyFill="1" applyBorder="1" applyAlignment="1">
      <alignment horizontal="right" wrapText="1"/>
    </xf>
    <xf numFmtId="1" fontId="21" fillId="4" borderId="2" xfId="14" applyNumberFormat="1" applyFont="1" applyFill="1" applyBorder="1" applyAlignment="1">
      <alignment horizontal="right" wrapText="1"/>
    </xf>
    <xf numFmtId="165" fontId="21" fillId="4" borderId="2" xfId="14" applyNumberFormat="1" applyFont="1" applyFill="1" applyBorder="1" applyAlignment="1">
      <alignment horizontal="right" wrapText="1"/>
    </xf>
    <xf numFmtId="10" fontId="21" fillId="4" borderId="2" xfId="14" applyNumberFormat="1" applyFont="1" applyFill="1" applyBorder="1" applyAlignment="1" applyProtection="1">
      <alignment horizontal="right" wrapText="1"/>
    </xf>
    <xf numFmtId="0" fontId="21" fillId="0" borderId="0" xfId="0" applyFont="1" applyFill="1" applyAlignment="1">
      <alignment horizontal="right" wrapText="1"/>
    </xf>
    <xf numFmtId="6" fontId="0" fillId="0" borderId="2" xfId="0" applyNumberFormat="1" applyFont="1" applyFill="1" applyBorder="1" applyAlignment="1" applyProtection="1">
      <alignment wrapText="1"/>
    </xf>
    <xf numFmtId="0" fontId="0" fillId="4" borderId="6" xfId="0" applyFont="1" applyFill="1" applyBorder="1" applyAlignment="1" applyProtection="1">
      <alignment wrapText="1"/>
    </xf>
    <xf numFmtId="1" fontId="0" fillId="4" borderId="6" xfId="0" applyNumberFormat="1" applyFont="1" applyFill="1" applyBorder="1" applyAlignment="1" applyProtection="1">
      <alignment wrapText="1"/>
    </xf>
    <xf numFmtId="165" fontId="0" fillId="4" borderId="6" xfId="0" applyNumberFormat="1" applyFont="1" applyFill="1" applyBorder="1" applyAlignment="1" applyProtection="1">
      <alignment wrapText="1"/>
    </xf>
    <xf numFmtId="0" fontId="0" fillId="0" borderId="6" xfId="0" applyFont="1" applyFill="1" applyBorder="1" applyAlignment="1" applyProtection="1">
      <alignment wrapText="1"/>
    </xf>
    <xf numFmtId="1" fontId="0" fillId="4" borderId="10" xfId="0" applyNumberFormat="1" applyFont="1" applyFill="1" applyBorder="1" applyAlignment="1" applyProtection="1">
      <alignment wrapText="1"/>
    </xf>
    <xf numFmtId="5" fontId="0" fillId="0" borderId="6" xfId="0" applyNumberFormat="1" applyFont="1" applyFill="1" applyBorder="1" applyAlignment="1" applyProtection="1">
      <alignment wrapText="1"/>
    </xf>
    <xf numFmtId="0" fontId="0" fillId="4" borderId="6" xfId="0" applyNumberFormat="1" applyFont="1" applyFill="1" applyBorder="1" applyAlignment="1" applyProtection="1">
      <alignment horizontal="center" wrapText="1"/>
    </xf>
    <xf numFmtId="0" fontId="0" fillId="0" borderId="0" xfId="0" applyFont="1" applyBorder="1" applyProtection="1">
      <protection locked="0"/>
    </xf>
    <xf numFmtId="165" fontId="0" fillId="0" borderId="0" xfId="0" applyNumberFormat="1" applyFont="1" applyBorder="1" applyAlignment="1" applyProtection="1">
      <alignment wrapText="1"/>
    </xf>
    <xf numFmtId="0" fontId="0" fillId="0" borderId="7" xfId="0" applyNumberFormat="1" applyFont="1" applyFill="1" applyBorder="1" applyAlignment="1" applyProtection="1">
      <alignment wrapText="1"/>
    </xf>
    <xf numFmtId="0" fontId="0" fillId="4" borderId="7" xfId="0" applyNumberFormat="1" applyFont="1" applyFill="1" applyBorder="1" applyAlignment="1" applyProtection="1">
      <alignment wrapText="1"/>
    </xf>
    <xf numFmtId="1" fontId="0" fillId="4" borderId="7" xfId="0" applyNumberFormat="1" applyFont="1" applyFill="1" applyBorder="1" applyAlignment="1" applyProtection="1">
      <alignment wrapText="1"/>
    </xf>
    <xf numFmtId="1" fontId="0" fillId="4" borderId="13" xfId="0" applyNumberFormat="1" applyFont="1" applyFill="1" applyBorder="1" applyAlignment="1" applyProtection="1">
      <alignment wrapText="1"/>
    </xf>
    <xf numFmtId="0" fontId="0" fillId="0" borderId="7" xfId="0" applyFont="1" applyFill="1" applyBorder="1" applyAlignment="1" applyProtection="1">
      <alignment wrapText="1"/>
    </xf>
    <xf numFmtId="165" fontId="0" fillId="0" borderId="7" xfId="0" applyNumberFormat="1" applyFont="1" applyFill="1" applyBorder="1" applyAlignment="1" applyProtection="1">
      <alignment wrapText="1"/>
    </xf>
    <xf numFmtId="165" fontId="0" fillId="4" borderId="7" xfId="0" applyNumberFormat="1" applyFont="1" applyFill="1" applyBorder="1" applyAlignment="1" applyProtection="1">
      <alignment wrapText="1"/>
    </xf>
    <xf numFmtId="0" fontId="11" fillId="4" borderId="2" xfId="0" applyNumberFormat="1" applyFont="1" applyFill="1" applyBorder="1" applyAlignment="1" applyProtection="1">
      <alignment horizontal="center" wrapText="1"/>
    </xf>
    <xf numFmtId="5" fontId="0" fillId="0" borderId="2" xfId="0" applyNumberFormat="1" applyFont="1" applyFill="1" applyBorder="1" applyAlignment="1" applyProtection="1">
      <alignment wrapText="1"/>
      <protection locked="0"/>
    </xf>
    <xf numFmtId="2" fontId="13" fillId="0" borderId="2" xfId="0" applyNumberFormat="1" applyFont="1" applyFill="1" applyBorder="1" applyAlignment="1" applyProtection="1">
      <alignment horizontal="right" wrapText="1"/>
    </xf>
    <xf numFmtId="0" fontId="13" fillId="0" borderId="3" xfId="0" applyFont="1" applyFill="1" applyBorder="1" applyAlignment="1" applyProtection="1">
      <alignment wrapText="1"/>
    </xf>
    <xf numFmtId="2" fontId="13" fillId="0" borderId="3" xfId="0" applyNumberFormat="1" applyFont="1" applyFill="1" applyBorder="1" applyAlignment="1" applyProtection="1">
      <alignment wrapText="1"/>
    </xf>
    <xf numFmtId="5" fontId="13" fillId="0" borderId="3" xfId="0" applyNumberFormat="1" applyFont="1" applyFill="1" applyBorder="1" applyAlignment="1" applyProtection="1">
      <alignment wrapText="1"/>
    </xf>
    <xf numFmtId="6" fontId="13" fillId="0" borderId="0" xfId="0" applyNumberFormat="1" applyFont="1" applyFill="1" applyProtection="1"/>
    <xf numFmtId="6" fontId="13" fillId="0" borderId="3" xfId="0" applyNumberFormat="1" applyFont="1" applyFill="1" applyBorder="1" applyAlignment="1" applyProtection="1">
      <alignment wrapText="1"/>
    </xf>
    <xf numFmtId="165" fontId="13" fillId="0" borderId="5" xfId="0" applyNumberFormat="1" applyFont="1" applyFill="1" applyBorder="1" applyAlignment="1" applyProtection="1">
      <alignment wrapText="1"/>
    </xf>
    <xf numFmtId="165" fontId="13" fillId="0" borderId="3" xfId="0" applyNumberFormat="1" applyFont="1" applyFill="1" applyBorder="1" applyAlignment="1" applyProtection="1">
      <alignment wrapText="1"/>
    </xf>
    <xf numFmtId="0" fontId="0" fillId="4" borderId="2" xfId="22" applyNumberFormat="1" applyFont="1" applyFill="1" applyBorder="1" applyAlignment="1" applyProtection="1">
      <alignment horizontal="center" wrapText="1"/>
    </xf>
    <xf numFmtId="166" fontId="0" fillId="4" borderId="2" xfId="0" applyNumberFormat="1" applyFont="1" applyFill="1" applyBorder="1" applyAlignment="1" applyProtection="1">
      <alignment wrapText="1"/>
    </xf>
    <xf numFmtId="3" fontId="0" fillId="0" borderId="2" xfId="0" applyNumberFormat="1" applyFont="1" applyFill="1" applyBorder="1" applyAlignment="1" applyProtection="1">
      <alignment wrapText="1"/>
    </xf>
    <xf numFmtId="3" fontId="0" fillId="4" borderId="2" xfId="0" applyNumberFormat="1" applyFont="1" applyFill="1" applyBorder="1" applyAlignment="1" applyProtection="1">
      <alignment wrapText="1"/>
    </xf>
    <xf numFmtId="0" fontId="11" fillId="4" borderId="2" xfId="0" applyNumberFormat="1" applyFont="1" applyFill="1" applyBorder="1" applyAlignment="1" applyProtection="1">
      <alignment horizontal="center" vertical="center" wrapText="1"/>
    </xf>
    <xf numFmtId="0" fontId="13" fillId="0" borderId="11" xfId="0" applyFont="1" applyFill="1" applyBorder="1" applyAlignment="1">
      <alignment horizontal="right" wrapText="1"/>
    </xf>
    <xf numFmtId="165" fontId="13" fillId="0" borderId="11" xfId="0" applyNumberFormat="1" applyFont="1" applyFill="1" applyBorder="1" applyAlignment="1">
      <alignment horizontal="right" wrapText="1"/>
    </xf>
    <xf numFmtId="6" fontId="13" fillId="0" borderId="11" xfId="0" applyNumberFormat="1" applyFont="1" applyFill="1" applyBorder="1" applyAlignment="1">
      <alignment horizontal="right" wrapText="1"/>
    </xf>
    <xf numFmtId="0" fontId="13" fillId="0" borderId="0" xfId="0" applyFont="1" applyAlignment="1">
      <alignment horizontal="right" wrapText="1"/>
    </xf>
    <xf numFmtId="0" fontId="13" fillId="0" borderId="11" xfId="0" applyFont="1" applyBorder="1" applyAlignment="1">
      <alignment wrapText="1"/>
    </xf>
    <xf numFmtId="0" fontId="13" fillId="4" borderId="2" xfId="0" applyNumberFormat="1" applyFont="1" applyFill="1" applyBorder="1" applyAlignment="1">
      <alignment horizontal="center"/>
    </xf>
    <xf numFmtId="0" fontId="13" fillId="8" borderId="11" xfId="0" applyNumberFormat="1" applyFont="1" applyFill="1" applyBorder="1" applyAlignment="1">
      <alignment horizontal="center"/>
    </xf>
    <xf numFmtId="0" fontId="0" fillId="8" borderId="11" xfId="0" applyNumberFormat="1" applyFont="1" applyFill="1" applyBorder="1" applyAlignment="1">
      <alignment horizontal="center"/>
    </xf>
    <xf numFmtId="0" fontId="13" fillId="0" borderId="5" xfId="0" applyFont="1" applyFill="1" applyBorder="1" applyAlignment="1" applyProtection="1">
      <alignment wrapText="1"/>
    </xf>
    <xf numFmtId="0" fontId="13" fillId="4" borderId="5" xfId="0" applyFont="1" applyFill="1" applyBorder="1" applyAlignment="1" applyProtection="1">
      <alignment wrapText="1"/>
    </xf>
    <xf numFmtId="1" fontId="13" fillId="4" borderId="5" xfId="0" applyNumberFormat="1" applyFont="1" applyFill="1" applyBorder="1" applyAlignment="1" applyProtection="1">
      <alignment wrapText="1"/>
    </xf>
    <xf numFmtId="5" fontId="13" fillId="0" borderId="5" xfId="0" applyNumberFormat="1" applyFont="1" applyFill="1" applyBorder="1" applyAlignment="1" applyProtection="1">
      <alignment wrapText="1"/>
    </xf>
    <xf numFmtId="165" fontId="13" fillId="4" borderId="5" xfId="0" applyNumberFormat="1" applyFont="1" applyFill="1" applyBorder="1" applyAlignment="1" applyProtection="1">
      <alignment wrapText="1"/>
    </xf>
    <xf numFmtId="0" fontId="13" fillId="4" borderId="3" xfId="0" applyFont="1" applyFill="1" applyBorder="1" applyAlignment="1" applyProtection="1">
      <alignment wrapText="1"/>
    </xf>
    <xf numFmtId="1" fontId="13" fillId="4" borderId="3" xfId="0" applyNumberFormat="1" applyFont="1" applyFill="1" applyBorder="1" applyAlignment="1" applyProtection="1">
      <alignment wrapText="1"/>
    </xf>
    <xf numFmtId="165" fontId="13" fillId="4" borderId="3" xfId="0" applyNumberFormat="1" applyFont="1" applyFill="1" applyBorder="1" applyAlignment="1" applyProtection="1">
      <alignment wrapText="1"/>
    </xf>
    <xf numFmtId="0" fontId="0" fillId="4" borderId="2" xfId="0" applyFont="1" applyFill="1" applyBorder="1" applyAlignment="1" applyProtection="1">
      <alignment horizontal="right" wrapText="1"/>
      <protection locked="0"/>
    </xf>
    <xf numFmtId="0" fontId="0" fillId="4" borderId="9" xfId="0" applyFont="1" applyFill="1" applyBorder="1" applyAlignment="1" applyProtection="1">
      <alignment vertical="center" wrapText="1"/>
      <protection locked="0"/>
    </xf>
    <xf numFmtId="6" fontId="0" fillId="0" borderId="2" xfId="0" applyNumberFormat="1" applyFont="1" applyFill="1" applyBorder="1" applyAlignment="1" applyProtection="1">
      <alignment horizontal="right" wrapText="1"/>
      <protection locked="0"/>
    </xf>
    <xf numFmtId="6" fontId="0" fillId="4" borderId="2" xfId="0" applyNumberFormat="1" applyFont="1" applyFill="1" applyBorder="1" applyAlignment="1" applyProtection="1">
      <alignment horizontal="right" wrapText="1"/>
      <protection locked="0"/>
    </xf>
    <xf numFmtId="0" fontId="0" fillId="0" borderId="0" xfId="0" applyFont="1" applyFill="1" applyAlignment="1" applyProtection="1">
      <alignment horizontal="right"/>
      <protection locked="0"/>
    </xf>
    <xf numFmtId="0" fontId="0" fillId="4" borderId="0" xfId="0" applyFont="1" applyFill="1" applyAlignment="1" applyProtection="1">
      <alignment horizontal="right"/>
      <protection locked="0"/>
    </xf>
    <xf numFmtId="0" fontId="11" fillId="4" borderId="2" xfId="0" applyNumberFormat="1" applyFont="1" applyFill="1" applyBorder="1" applyAlignment="1" applyProtection="1">
      <alignment horizontal="center" wrapText="1"/>
      <protection locked="0"/>
    </xf>
    <xf numFmtId="0" fontId="0" fillId="0" borderId="0" xfId="0" applyFont="1" applyFill="1" applyAlignment="1" applyProtection="1">
      <alignment horizontal="left"/>
    </xf>
    <xf numFmtId="9" fontId="2" fillId="4" borderId="2" xfId="3" applyFont="1" applyFill="1" applyBorder="1" applyAlignment="1" applyProtection="1">
      <alignment horizontal="right" wrapText="1"/>
    </xf>
    <xf numFmtId="2" fontId="0" fillId="0" borderId="2" xfId="0" applyNumberFormat="1" applyFont="1" applyFill="1" applyBorder="1" applyAlignment="1" applyProtection="1">
      <alignment vertical="center" wrapText="1"/>
    </xf>
    <xf numFmtId="4" fontId="0" fillId="0" borderId="2" xfId="0" applyNumberFormat="1" applyFont="1" applyFill="1" applyBorder="1" applyAlignment="1" applyProtection="1">
      <alignment wrapText="1"/>
    </xf>
    <xf numFmtId="3" fontId="0" fillId="0" borderId="0" xfId="0" applyNumberFormat="1" applyFont="1" applyProtection="1">
      <protection locked="0"/>
    </xf>
    <xf numFmtId="166" fontId="0" fillId="0" borderId="2" xfId="0" applyNumberFormat="1" applyFont="1" applyFill="1" applyBorder="1" applyAlignment="1" applyProtection="1">
      <alignment wrapText="1"/>
      <protection locked="0"/>
    </xf>
    <xf numFmtId="165" fontId="0" fillId="0" borderId="2" xfId="0" applyNumberFormat="1" applyFont="1" applyFill="1" applyBorder="1" applyAlignment="1" applyProtection="1">
      <alignment wrapText="1"/>
      <protection locked="0"/>
    </xf>
    <xf numFmtId="0" fontId="0" fillId="0" borderId="2" xfId="0" applyNumberFormat="1" applyFont="1" applyFill="1" applyBorder="1" applyAlignment="1" applyProtection="1">
      <alignment wrapText="1"/>
      <protection locked="0"/>
    </xf>
    <xf numFmtId="49" fontId="0" fillId="0" borderId="0" xfId="0" applyNumberFormat="1" applyFont="1" applyProtection="1"/>
    <xf numFmtId="3" fontId="0" fillId="4" borderId="2" xfId="0" applyNumberFormat="1" applyFont="1" applyFill="1" applyBorder="1" applyAlignment="1" applyProtection="1">
      <alignment horizontal="right" wrapText="1"/>
    </xf>
    <xf numFmtId="0" fontId="0" fillId="0" borderId="2" xfId="0" applyNumberFormat="1" applyFont="1" applyFill="1" applyBorder="1" applyAlignment="1" applyProtection="1">
      <alignment horizontal="right" wrapText="1"/>
    </xf>
    <xf numFmtId="0" fontId="0" fillId="5" borderId="6" xfId="0" applyNumberFormat="1" applyFont="1" applyFill="1" applyBorder="1" applyAlignment="1" applyProtection="1">
      <alignment horizontal="center" wrapText="1"/>
    </xf>
    <xf numFmtId="0" fontId="0" fillId="5" borderId="6" xfId="0" applyNumberFormat="1" applyFont="1" applyFill="1" applyBorder="1" applyAlignment="1" applyProtection="1">
      <alignment wrapText="1"/>
    </xf>
    <xf numFmtId="0" fontId="0" fillId="0" borderId="6" xfId="0" applyNumberFormat="1" applyFont="1" applyBorder="1" applyAlignment="1" applyProtection="1">
      <alignment wrapText="1"/>
    </xf>
    <xf numFmtId="2" fontId="0" fillId="0" borderId="6" xfId="0" applyNumberFormat="1" applyFont="1" applyBorder="1" applyAlignment="1" applyProtection="1">
      <alignment wrapText="1"/>
    </xf>
    <xf numFmtId="0" fontId="0" fillId="5" borderId="6" xfId="0" applyFont="1" applyFill="1" applyBorder="1" applyProtection="1"/>
    <xf numFmtId="0" fontId="0" fillId="5" borderId="6" xfId="0" applyFont="1" applyFill="1" applyBorder="1" applyAlignment="1" applyProtection="1">
      <alignment wrapText="1"/>
    </xf>
    <xf numFmtId="165" fontId="0" fillId="5" borderId="6" xfId="0" applyNumberFormat="1" applyFont="1" applyFill="1" applyBorder="1" applyAlignment="1" applyProtection="1">
      <alignment wrapText="1"/>
    </xf>
    <xf numFmtId="165" fontId="0" fillId="0" borderId="6" xfId="0" applyNumberFormat="1" applyFont="1" applyBorder="1" applyAlignment="1" applyProtection="1">
      <alignment wrapText="1"/>
    </xf>
    <xf numFmtId="0" fontId="0" fillId="5" borderId="2" xfId="0" applyNumberFormat="1" applyFont="1" applyFill="1" applyBorder="1" applyAlignment="1" applyProtection="1">
      <alignment horizontal="center" wrapText="1"/>
    </xf>
    <xf numFmtId="0" fontId="0" fillId="5" borderId="2" xfId="0" applyNumberFormat="1" applyFont="1" applyFill="1" applyBorder="1" applyAlignment="1" applyProtection="1">
      <alignment wrapText="1"/>
    </xf>
    <xf numFmtId="0" fontId="0" fillId="0" borderId="2" xfId="0" applyNumberFormat="1" applyFont="1" applyBorder="1" applyAlignment="1" applyProtection="1">
      <alignment wrapText="1"/>
    </xf>
    <xf numFmtId="2" fontId="0" fillId="0" borderId="2" xfId="0" applyNumberFormat="1" applyFont="1" applyBorder="1" applyAlignment="1" applyProtection="1">
      <alignment wrapText="1"/>
    </xf>
    <xf numFmtId="0" fontId="0" fillId="5" borderId="2" xfId="0" applyFont="1" applyFill="1" applyBorder="1" applyProtection="1"/>
    <xf numFmtId="0" fontId="0" fillId="5" borderId="2" xfId="0" applyFont="1" applyFill="1" applyBorder="1" applyAlignment="1" applyProtection="1">
      <alignment wrapText="1"/>
    </xf>
    <xf numFmtId="165" fontId="0" fillId="5" borderId="2" xfId="0" applyNumberFormat="1" applyFont="1" applyFill="1" applyBorder="1" applyAlignment="1" applyProtection="1">
      <alignment wrapText="1"/>
    </xf>
    <xf numFmtId="0" fontId="13" fillId="0" borderId="2" xfId="14" applyFont="1" applyFill="1" applyBorder="1" applyAlignment="1" applyProtection="1">
      <alignment horizontal="right" wrapText="1"/>
    </xf>
    <xf numFmtId="5" fontId="13" fillId="0" borderId="2" xfId="14" applyNumberFormat="1" applyFont="1" applyFill="1" applyBorder="1" applyAlignment="1" applyProtection="1">
      <alignment horizontal="right" wrapText="1"/>
    </xf>
    <xf numFmtId="0" fontId="13" fillId="0" borderId="0" xfId="14" applyFont="1" applyFill="1" applyAlignment="1" applyProtection="1">
      <alignment horizontal="right"/>
    </xf>
    <xf numFmtId="2" fontId="0" fillId="0" borderId="0" xfId="0" applyNumberFormat="1" applyFont="1" applyBorder="1" applyAlignment="1" applyProtection="1">
      <alignment wrapText="1"/>
    </xf>
    <xf numFmtId="10" fontId="13" fillId="4" borderId="2" xfId="14" applyNumberFormat="1" applyFont="1" applyFill="1" applyBorder="1" applyAlignment="1">
      <alignment horizontal="right" wrapText="1"/>
    </xf>
    <xf numFmtId="10" fontId="0" fillId="4" borderId="2" xfId="0" applyNumberFormat="1" applyFont="1" applyFill="1" applyBorder="1" applyAlignment="1" applyProtection="1">
      <alignment horizontal="right" wrapText="1"/>
    </xf>
    <xf numFmtId="10" fontId="0" fillId="4" borderId="2" xfId="0" applyNumberFormat="1" applyFont="1" applyFill="1" applyBorder="1" applyAlignment="1" applyProtection="1">
      <alignment wrapText="1"/>
    </xf>
    <xf numFmtId="10" fontId="0" fillId="4" borderId="2" xfId="3" applyNumberFormat="1" applyFont="1" applyFill="1" applyBorder="1" applyAlignment="1" applyProtection="1">
      <alignment wrapText="1"/>
    </xf>
    <xf numFmtId="3" fontId="0" fillId="0" borderId="2" xfId="0" applyNumberFormat="1" applyBorder="1"/>
    <xf numFmtId="168" fontId="0" fillId="0" borderId="2" xfId="0" applyNumberFormat="1" applyBorder="1"/>
    <xf numFmtId="165" fontId="0" fillId="0" borderId="2" xfId="0" applyNumberFormat="1" applyFont="1" applyFill="1" applyBorder="1" applyAlignment="1" applyProtection="1">
      <alignment horizontal="right" wrapText="1"/>
      <protection locked="0"/>
    </xf>
    <xf numFmtId="0" fontId="13" fillId="0" borderId="2" xfId="0"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wrapText="1"/>
      <protection locked="0"/>
    </xf>
    <xf numFmtId="1" fontId="13" fillId="0" borderId="2" xfId="0" applyNumberFormat="1" applyFont="1" applyFill="1" applyBorder="1" applyAlignment="1" applyProtection="1">
      <alignment horizontal="right" wrapText="1"/>
      <protection locked="0"/>
    </xf>
    <xf numFmtId="165" fontId="0" fillId="0" borderId="1" xfId="0" applyNumberFormat="1" applyFont="1" applyFill="1" applyBorder="1" applyProtection="1">
      <protection locked="0"/>
    </xf>
    <xf numFmtId="0" fontId="21" fillId="0" borderId="2" xfId="0" applyFont="1" applyFill="1" applyBorder="1" applyAlignment="1" applyProtection="1">
      <alignment horizontal="right" wrapText="1"/>
      <protection locked="0"/>
    </xf>
    <xf numFmtId="1" fontId="21" fillId="0" borderId="2" xfId="0" applyNumberFormat="1" applyFont="1" applyFill="1" applyBorder="1" applyAlignment="1" applyProtection="1">
      <alignment horizontal="right" wrapText="1"/>
      <protection locked="0"/>
    </xf>
    <xf numFmtId="165" fontId="21" fillId="0" borderId="2" xfId="0" applyNumberFormat="1" applyFont="1" applyFill="1" applyBorder="1" applyAlignment="1" applyProtection="1">
      <alignment horizontal="right" wrapText="1"/>
      <protection locked="0"/>
    </xf>
    <xf numFmtId="2" fontId="13" fillId="0" borderId="2" xfId="0" applyNumberFormat="1" applyFont="1" applyFill="1" applyBorder="1" applyAlignment="1" applyProtection="1">
      <alignment horizontal="right" wrapText="1"/>
      <protection locked="0"/>
    </xf>
    <xf numFmtId="165" fontId="13" fillId="0" borderId="4" xfId="0" applyNumberFormat="1" applyFont="1" applyFill="1" applyBorder="1" applyAlignment="1" applyProtection="1">
      <alignment horizontal="right" wrapText="1"/>
      <protection locked="0"/>
    </xf>
    <xf numFmtId="1" fontId="13" fillId="4" borderId="2" xfId="0" applyNumberFormat="1" applyFont="1" applyFill="1" applyBorder="1" applyAlignment="1" applyProtection="1">
      <alignment horizontal="right" wrapText="1"/>
      <protection locked="0"/>
    </xf>
    <xf numFmtId="0" fontId="13" fillId="0" borderId="2" xfId="0" applyFont="1" applyFill="1" applyBorder="1" applyAlignment="1" applyProtection="1">
      <alignment wrapText="1"/>
    </xf>
    <xf numFmtId="0" fontId="0" fillId="0" borderId="2" xfId="0" applyFont="1" applyFill="1" applyBorder="1" applyAlignment="1" applyProtection="1">
      <alignment wrapText="1"/>
    </xf>
    <xf numFmtId="0" fontId="0" fillId="0" borderId="7" xfId="0" applyFont="1" applyBorder="1" applyProtection="1"/>
    <xf numFmtId="164" fontId="0" fillId="0" borderId="0" xfId="0" applyNumberFormat="1" applyFont="1" applyProtection="1">
      <protection locked="0"/>
    </xf>
    <xf numFmtId="0" fontId="13" fillId="0" borderId="2" xfId="0" applyFont="1" applyFill="1" applyBorder="1" applyAlignment="1" applyProtection="1">
      <alignment wrapText="1"/>
    </xf>
    <xf numFmtId="0" fontId="0" fillId="0" borderId="2" xfId="0" applyFont="1" applyBorder="1" applyAlignment="1">
      <alignment wrapText="1"/>
    </xf>
    <xf numFmtId="0" fontId="0" fillId="0" borderId="2" xfId="0" applyFont="1" applyFill="1" applyBorder="1" applyAlignment="1">
      <alignment wrapText="1"/>
    </xf>
    <xf numFmtId="49" fontId="0" fillId="4" borderId="2" xfId="0" applyNumberFormat="1" applyFont="1" applyFill="1" applyBorder="1" applyAlignment="1" applyProtection="1">
      <alignment horizontal="center" wrapText="1"/>
    </xf>
    <xf numFmtId="0" fontId="0" fillId="0" borderId="2" xfId="0" applyFont="1" applyFill="1" applyBorder="1" applyAlignment="1" applyProtection="1">
      <alignment wrapText="1"/>
      <protection locked="0"/>
    </xf>
    <xf numFmtId="0" fontId="0" fillId="0" borderId="2" xfId="0" applyFont="1" applyFill="1" applyBorder="1" applyAlignment="1" applyProtection="1">
      <alignment wrapText="1"/>
    </xf>
    <xf numFmtId="0" fontId="14" fillId="9" borderId="0" xfId="0" applyFont="1" applyFill="1" applyBorder="1"/>
    <xf numFmtId="0" fontId="14" fillId="9" borderId="0" xfId="0" applyFont="1" applyFill="1" applyBorder="1" applyAlignment="1">
      <alignment vertical="center"/>
    </xf>
    <xf numFmtId="0" fontId="21" fillId="8" borderId="11" xfId="0" applyFont="1" applyFill="1" applyBorder="1" applyAlignment="1">
      <alignment horizontal="center" wrapText="1"/>
    </xf>
    <xf numFmtId="10" fontId="0" fillId="8" borderId="11" xfId="0" applyNumberFormat="1" applyFont="1" applyFill="1" applyBorder="1" applyAlignment="1">
      <alignment wrapText="1"/>
    </xf>
    <xf numFmtId="10" fontId="21" fillId="8" borderId="11" xfId="0" applyNumberFormat="1" applyFont="1" applyFill="1" applyBorder="1" applyAlignment="1">
      <alignment horizontal="right" wrapText="1"/>
    </xf>
    <xf numFmtId="0" fontId="21" fillId="0" borderId="11" xfId="0" applyFont="1" applyBorder="1" applyAlignment="1">
      <alignment horizontal="right" wrapText="1"/>
    </xf>
    <xf numFmtId="165" fontId="21" fillId="0" borderId="11" xfId="0" applyNumberFormat="1" applyFont="1" applyBorder="1" applyAlignment="1">
      <alignment horizontal="right" wrapText="1"/>
    </xf>
    <xf numFmtId="0" fontId="0" fillId="8" borderId="11" xfId="0" applyFont="1" applyFill="1" applyBorder="1" applyAlignment="1">
      <alignment horizontal="center" wrapText="1"/>
    </xf>
    <xf numFmtId="0" fontId="0" fillId="8" borderId="11" xfId="0" applyFont="1" applyFill="1" applyBorder="1" applyAlignment="1">
      <alignment vertical="center" wrapText="1"/>
    </xf>
    <xf numFmtId="10" fontId="1" fillId="4" borderId="2" xfId="0" applyNumberFormat="1" applyFont="1" applyFill="1" applyBorder="1" applyAlignment="1">
      <alignment wrapText="1"/>
    </xf>
    <xf numFmtId="6" fontId="1" fillId="0" borderId="2" xfId="0" applyNumberFormat="1" applyFont="1" applyFill="1" applyBorder="1" applyAlignment="1" applyProtection="1">
      <alignment horizontal="right" wrapText="1"/>
      <protection locked="0"/>
    </xf>
    <xf numFmtId="165" fontId="1" fillId="0" borderId="2" xfId="0" applyNumberFormat="1" applyFont="1" applyFill="1" applyBorder="1" applyAlignment="1" applyProtection="1">
      <alignment horizontal="right" wrapText="1"/>
      <protection locked="0"/>
    </xf>
    <xf numFmtId="0" fontId="0" fillId="0" borderId="0" xfId="0" applyAlignment="1" applyProtection="1">
      <alignment wrapText="1"/>
      <protection locked="0"/>
    </xf>
    <xf numFmtId="0" fontId="0" fillId="10" borderId="2" xfId="0" applyFill="1" applyBorder="1"/>
    <xf numFmtId="0" fontId="0" fillId="0" borderId="0" xfId="0" applyFill="1"/>
    <xf numFmtId="0" fontId="23" fillId="4" borderId="2" xfId="0" applyFont="1" applyFill="1" applyBorder="1"/>
    <xf numFmtId="0" fontId="23" fillId="4" borderId="2" xfId="0" applyFont="1" applyFill="1" applyBorder="1" applyAlignment="1">
      <alignment horizontal="center" wrapText="1"/>
    </xf>
    <xf numFmtId="0" fontId="21" fillId="0" borderId="11" xfId="0" applyFont="1" applyFill="1" applyBorder="1" applyAlignment="1">
      <alignment horizontal="right" wrapText="1"/>
    </xf>
    <xf numFmtId="165" fontId="21" fillId="0" borderId="11" xfId="0" applyNumberFormat="1" applyFont="1" applyFill="1" applyBorder="1" applyAlignment="1">
      <alignment horizontal="right" wrapText="1"/>
    </xf>
    <xf numFmtId="0" fontId="21" fillId="4" borderId="11" xfId="0" applyFont="1" applyFill="1" applyBorder="1" applyAlignment="1">
      <alignment horizontal="right" wrapText="1"/>
    </xf>
    <xf numFmtId="0" fontId="0" fillId="0" borderId="0" xfId="0" applyFont="1" applyFill="1" applyAlignment="1" applyProtection="1">
      <alignment wrapText="1"/>
    </xf>
    <xf numFmtId="0" fontId="0" fillId="0" borderId="0" xfId="0" applyFill="1" applyProtection="1">
      <protection locked="0"/>
    </xf>
    <xf numFmtId="0" fontId="13" fillId="0" borderId="0" xfId="0" applyFont="1" applyFill="1" applyProtection="1"/>
    <xf numFmtId="0" fontId="0" fillId="0" borderId="0" xfId="0" applyFont="1" applyFill="1" applyAlignment="1" applyProtection="1">
      <alignment wrapText="1"/>
      <protection locked="0"/>
    </xf>
    <xf numFmtId="0" fontId="14" fillId="0" borderId="0" xfId="0" applyFont="1" applyFill="1" applyBorder="1"/>
    <xf numFmtId="0" fontId="15" fillId="0" borderId="0" xfId="0" applyFont="1" applyFill="1" applyBorder="1" applyAlignment="1">
      <alignment horizontal="center" vertical="center" wrapText="1"/>
    </xf>
    <xf numFmtId="0" fontId="21" fillId="0" borderId="0" xfId="0" applyFont="1" applyFill="1" applyBorder="1" applyAlignment="1">
      <alignment horizontal="right" wrapText="1"/>
    </xf>
    <xf numFmtId="0" fontId="0" fillId="0" borderId="0" xfId="0" applyFont="1" applyFill="1" applyBorder="1" applyAlignment="1" applyProtection="1">
      <alignment wrapText="1"/>
    </xf>
    <xf numFmtId="0" fontId="0" fillId="0" borderId="0" xfId="0" applyFill="1" applyProtection="1"/>
    <xf numFmtId="0" fontId="13" fillId="0" borderId="0" xfId="0" applyFont="1" applyFill="1" applyAlignment="1" applyProtection="1">
      <alignment wrapText="1"/>
    </xf>
    <xf numFmtId="42" fontId="0" fillId="0" borderId="0" xfId="1" applyNumberFormat="1" applyFont="1" applyFill="1" applyProtection="1">
      <protection locked="0"/>
    </xf>
    <xf numFmtId="4" fontId="0" fillId="0" borderId="0" xfId="0" applyNumberFormat="1" applyFill="1" applyProtection="1">
      <protection locked="0"/>
    </xf>
    <xf numFmtId="0" fontId="13" fillId="4" borderId="2" xfId="0" applyFont="1" applyFill="1" applyBorder="1" applyAlignment="1" applyProtection="1">
      <alignment horizontal="right" wrapText="1"/>
      <protection locked="0"/>
    </xf>
    <xf numFmtId="0" fontId="0" fillId="0" borderId="2" xfId="0" applyFont="1" applyBorder="1"/>
    <xf numFmtId="0" fontId="0" fillId="0" borderId="0" xfId="0" applyBorder="1" applyAlignment="1"/>
    <xf numFmtId="0" fontId="13" fillId="4" borderId="2" xfId="0" applyFont="1" applyFill="1" applyBorder="1" applyAlignment="1" applyProtection="1">
      <alignment horizontal="center" wrapText="1"/>
      <protection locked="0"/>
    </xf>
    <xf numFmtId="0" fontId="0" fillId="8" borderId="14" xfId="0" applyFont="1" applyFill="1" applyBorder="1" applyAlignment="1">
      <alignment horizontal="center" wrapText="1"/>
    </xf>
    <xf numFmtId="0" fontId="0" fillId="0" borderId="14" xfId="0" applyFont="1" applyBorder="1" applyAlignment="1">
      <alignment wrapText="1"/>
    </xf>
    <xf numFmtId="0" fontId="0" fillId="8" borderId="14" xfId="0" applyFont="1" applyFill="1" applyBorder="1" applyAlignment="1">
      <alignment wrapText="1"/>
    </xf>
    <xf numFmtId="1" fontId="0" fillId="8" borderId="14" xfId="0" applyNumberFormat="1" applyFont="1" applyFill="1" applyBorder="1" applyAlignment="1">
      <alignment wrapText="1"/>
    </xf>
    <xf numFmtId="0" fontId="0" fillId="8" borderId="14" xfId="0" applyFont="1" applyFill="1" applyBorder="1" applyAlignment="1">
      <alignment horizontal="right" wrapText="1"/>
    </xf>
    <xf numFmtId="10" fontId="0" fillId="8" borderId="14" xfId="0" applyNumberFormat="1" applyFont="1" applyFill="1" applyBorder="1" applyAlignment="1">
      <alignment wrapText="1"/>
    </xf>
    <xf numFmtId="165" fontId="0" fillId="0" borderId="14" xfId="0" applyNumberFormat="1" applyFont="1" applyBorder="1" applyAlignment="1">
      <alignment wrapText="1"/>
    </xf>
    <xf numFmtId="165" fontId="0" fillId="8" borderId="14" xfId="0" applyNumberFormat="1" applyFont="1" applyFill="1" applyBorder="1" applyAlignment="1">
      <alignment wrapText="1"/>
    </xf>
    <xf numFmtId="10" fontId="21" fillId="8" borderId="14" xfId="0" applyNumberFormat="1" applyFont="1" applyFill="1" applyBorder="1" applyAlignment="1">
      <alignment horizontal="right" wrapText="1"/>
    </xf>
    <xf numFmtId="0" fontId="13" fillId="0" borderId="2" xfId="0" applyFont="1" applyFill="1" applyBorder="1" applyAlignment="1" applyProtection="1">
      <alignment wrapText="1"/>
    </xf>
    <xf numFmtId="0" fontId="0" fillId="0" borderId="2" xfId="0" applyFont="1" applyFill="1" applyBorder="1" applyAlignment="1" applyProtection="1">
      <alignment wrapText="1"/>
    </xf>
    <xf numFmtId="0" fontId="13" fillId="0" borderId="2" xfId="0" applyFont="1" applyBorder="1" applyAlignment="1" applyProtection="1">
      <alignment horizontal="right" wrapText="1"/>
      <protection locked="0"/>
    </xf>
    <xf numFmtId="0" fontId="0" fillId="4" borderId="2" xfId="0" applyFill="1" applyBorder="1" applyAlignment="1">
      <alignment wrapText="1"/>
    </xf>
    <xf numFmtId="1" fontId="0" fillId="4" borderId="2" xfId="0" applyNumberFormat="1" applyFill="1" applyBorder="1" applyAlignment="1">
      <alignment wrapText="1"/>
    </xf>
    <xf numFmtId="0" fontId="13" fillId="0" borderId="2" xfId="0" applyFont="1" applyBorder="1" applyAlignment="1">
      <alignment horizontal="right" vertical="center" wrapText="1"/>
    </xf>
    <xf numFmtId="10" fontId="0" fillId="4" borderId="2" xfId="0" applyNumberFormat="1" applyFill="1" applyBorder="1" applyAlignment="1">
      <alignment wrapText="1"/>
    </xf>
    <xf numFmtId="165" fontId="13" fillId="0" borderId="2" xfId="0" applyNumberFormat="1" applyFont="1" applyBorder="1" applyAlignment="1" applyProtection="1">
      <alignment horizontal="right" wrapText="1"/>
      <protection locked="0"/>
    </xf>
    <xf numFmtId="165" fontId="0" fillId="4" borderId="2" xfId="0" applyNumberFormat="1" applyFill="1" applyBorder="1" applyAlignment="1">
      <alignment wrapText="1"/>
    </xf>
    <xf numFmtId="0" fontId="5" fillId="0" borderId="0" xfId="0" applyFont="1" applyAlignment="1">
      <alignment horizontal="center" vertical="center" wrapText="1"/>
    </xf>
    <xf numFmtId="0" fontId="13" fillId="4" borderId="2" xfId="0" applyFont="1" applyFill="1" applyBorder="1" applyAlignment="1">
      <alignment horizontal="center" vertical="center" wrapText="1"/>
    </xf>
    <xf numFmtId="0" fontId="24" fillId="8" borderId="11" xfId="0" applyFont="1" applyFill="1" applyBorder="1" applyAlignment="1">
      <alignment horizontal="center" wrapText="1"/>
    </xf>
    <xf numFmtId="0" fontId="24" fillId="0" borderId="11" xfId="0" applyFont="1" applyBorder="1" applyAlignment="1">
      <alignment horizontal="right" wrapText="1"/>
    </xf>
    <xf numFmtId="0" fontId="0" fillId="8" borderId="11" xfId="0" applyFill="1" applyBorder="1" applyAlignment="1">
      <alignment wrapText="1"/>
    </xf>
    <xf numFmtId="1" fontId="0" fillId="8" borderId="11" xfId="0" applyNumberFormat="1" applyFill="1" applyBorder="1" applyAlignment="1">
      <alignment wrapText="1"/>
    </xf>
    <xf numFmtId="10" fontId="0" fillId="8" borderId="11" xfId="0" applyNumberFormat="1" applyFill="1" applyBorder="1" applyAlignment="1">
      <alignment wrapText="1"/>
    </xf>
    <xf numFmtId="165" fontId="24" fillId="0" borderId="11" xfId="0" applyNumberFormat="1" applyFont="1" applyBorder="1" applyAlignment="1">
      <alignment horizontal="right" wrapText="1"/>
    </xf>
    <xf numFmtId="165" fontId="0" fillId="8" borderId="11" xfId="0" applyNumberFormat="1" applyFill="1" applyBorder="1" applyAlignment="1">
      <alignment wrapText="1"/>
    </xf>
    <xf numFmtId="10" fontId="24" fillId="8" borderId="11" xfId="0" applyNumberFormat="1" applyFont="1" applyFill="1" applyBorder="1" applyAlignment="1">
      <alignment horizontal="right" wrapText="1"/>
    </xf>
    <xf numFmtId="0" fontId="24" fillId="0" borderId="0" xfId="0" applyFont="1" applyAlignment="1">
      <alignment horizontal="right" wrapText="1"/>
    </xf>
    <xf numFmtId="1" fontId="0" fillId="4" borderId="2" xfId="0" applyNumberFormat="1" applyFill="1" applyBorder="1" applyAlignment="1">
      <alignment horizontal="right" wrapText="1"/>
    </xf>
    <xf numFmtId="0" fontId="13" fillId="11" borderId="2" xfId="0" applyFont="1" applyFill="1" applyBorder="1" applyAlignment="1">
      <alignment horizontal="right" vertical="center" wrapText="1"/>
    </xf>
    <xf numFmtId="0" fontId="13" fillId="4" borderId="2" xfId="0" applyFont="1" applyFill="1" applyBorder="1" applyAlignment="1">
      <alignment horizontal="right" vertical="center" wrapText="1"/>
    </xf>
    <xf numFmtId="165" fontId="13" fillId="11" borderId="2" xfId="0" applyNumberFormat="1" applyFont="1" applyFill="1" applyBorder="1" applyAlignment="1">
      <alignment horizontal="right" vertical="center" wrapText="1"/>
    </xf>
    <xf numFmtId="165" fontId="13" fillId="4" borderId="2" xfId="0" applyNumberFormat="1" applyFont="1" applyFill="1" applyBorder="1" applyAlignment="1">
      <alignment horizontal="right" vertical="center" wrapText="1"/>
    </xf>
    <xf numFmtId="0" fontId="13" fillId="0" borderId="0" xfId="0" applyFont="1" applyAlignment="1">
      <alignment horizontal="center" vertical="center" wrapText="1"/>
    </xf>
    <xf numFmtId="0" fontId="13" fillId="4" borderId="0" xfId="0" applyFont="1" applyFill="1" applyAlignment="1">
      <alignment horizontal="center" vertical="center" wrapText="1"/>
    </xf>
    <xf numFmtId="167" fontId="13" fillId="0" borderId="2" xfId="0" applyNumberFormat="1" applyFont="1" applyBorder="1" applyAlignment="1" applyProtection="1">
      <alignment horizontal="right" wrapText="1"/>
      <protection locked="0"/>
    </xf>
    <xf numFmtId="1" fontId="13" fillId="0" borderId="2" xfId="0" applyNumberFormat="1" applyFont="1" applyBorder="1" applyAlignment="1" applyProtection="1">
      <alignment horizontal="right" wrapText="1"/>
      <protection locked="0"/>
    </xf>
    <xf numFmtId="169" fontId="0" fillId="4" borderId="2" xfId="0" applyNumberFormat="1" applyFill="1" applyBorder="1" applyAlignment="1">
      <alignment wrapText="1"/>
    </xf>
    <xf numFmtId="0" fontId="0" fillId="4" borderId="2" xfId="0" applyFill="1" applyBorder="1" applyAlignment="1">
      <alignment horizontal="right" wrapText="1"/>
    </xf>
    <xf numFmtId="10" fontId="0" fillId="4" borderId="2" xfId="0" applyNumberFormat="1" applyFill="1" applyBorder="1" applyAlignment="1">
      <alignment horizontal="right" wrapText="1"/>
    </xf>
    <xf numFmtId="165" fontId="0" fillId="4" borderId="2" xfId="0" applyNumberFormat="1" applyFill="1" applyBorder="1" applyAlignment="1">
      <alignment horizontal="right" wrapText="1"/>
    </xf>
    <xf numFmtId="165" fontId="13" fillId="0" borderId="0" xfId="0" applyNumberFormat="1" applyFont="1" applyAlignment="1">
      <alignment horizontal="right" vertical="center" wrapText="1"/>
    </xf>
    <xf numFmtId="0" fontId="13" fillId="0" borderId="0" xfId="0" applyFont="1" applyAlignment="1">
      <alignment horizontal="right" vertical="center" wrapText="1"/>
    </xf>
    <xf numFmtId="0" fontId="13" fillId="4" borderId="0" xfId="0" applyFont="1" applyFill="1" applyAlignment="1">
      <alignment horizontal="right" vertical="center" wrapText="1"/>
    </xf>
    <xf numFmtId="1" fontId="13" fillId="4" borderId="2" xfId="0" applyNumberFormat="1" applyFont="1" applyFill="1" applyBorder="1" applyAlignment="1">
      <alignment horizontal="right" vertical="center" wrapText="1"/>
    </xf>
    <xf numFmtId="10" fontId="13" fillId="4" borderId="2" xfId="0" applyNumberFormat="1" applyFont="1" applyFill="1" applyBorder="1" applyAlignment="1">
      <alignment horizontal="right" vertical="center" wrapText="1"/>
    </xf>
    <xf numFmtId="165" fontId="13" fillId="0" borderId="2" xfId="0" applyNumberFormat="1" applyFont="1" applyBorder="1" applyAlignment="1">
      <alignment horizontal="right" vertical="center" wrapText="1"/>
    </xf>
    <xf numFmtId="165" fontId="13" fillId="0" borderId="1" xfId="0" applyNumberFormat="1" applyFont="1" applyBorder="1" applyAlignment="1" applyProtection="1">
      <alignment horizontal="right" wrapText="1"/>
      <protection locked="0"/>
    </xf>
    <xf numFmtId="0" fontId="5" fillId="0" borderId="2" xfId="0" applyFont="1" applyBorder="1" applyAlignment="1">
      <alignment horizontal="right" vertical="center" wrapText="1"/>
    </xf>
    <xf numFmtId="0" fontId="5" fillId="4" borderId="2" xfId="0" applyFont="1" applyFill="1" applyBorder="1" applyAlignment="1">
      <alignment horizontal="right" vertical="center" wrapText="1"/>
    </xf>
    <xf numFmtId="0" fontId="5" fillId="0" borderId="15" xfId="0" applyFont="1" applyBorder="1" applyAlignment="1">
      <alignment horizontal="right" vertical="center" wrapText="1"/>
    </xf>
    <xf numFmtId="0" fontId="23" fillId="0" borderId="0" xfId="0" applyFont="1"/>
    <xf numFmtId="6" fontId="5" fillId="0" borderId="2" xfId="0" applyNumberFormat="1" applyFont="1" applyBorder="1" applyAlignment="1">
      <alignment horizontal="right" vertical="center" wrapText="1"/>
    </xf>
    <xf numFmtId="10" fontId="5" fillId="4" borderId="2" xfId="0" applyNumberFormat="1" applyFont="1" applyFill="1" applyBorder="1" applyAlignment="1">
      <alignment horizontal="right" vertical="center" wrapText="1"/>
    </xf>
    <xf numFmtId="6" fontId="0" fillId="0" borderId="0" xfId="0" applyNumberFormat="1" applyAlignment="1">
      <alignment vertical="center" wrapText="1"/>
    </xf>
    <xf numFmtId="3" fontId="0" fillId="0" borderId="0" xfId="0" applyNumberFormat="1"/>
    <xf numFmtId="0" fontId="2" fillId="4" borderId="2" xfId="0" applyFont="1" applyFill="1" applyBorder="1" applyAlignment="1">
      <alignment wrapText="1"/>
    </xf>
    <xf numFmtId="1" fontId="2" fillId="4" borderId="2" xfId="0" applyNumberFormat="1" applyFont="1" applyFill="1" applyBorder="1" applyAlignment="1">
      <alignment wrapText="1"/>
    </xf>
    <xf numFmtId="10" fontId="2" fillId="4" borderId="2" xfId="0" applyNumberFormat="1" applyFont="1" applyFill="1" applyBorder="1" applyAlignment="1">
      <alignment wrapText="1"/>
    </xf>
    <xf numFmtId="165" fontId="2" fillId="4" borderId="2" xfId="0" applyNumberFormat="1" applyFont="1" applyFill="1" applyBorder="1" applyAlignment="1">
      <alignment wrapText="1"/>
    </xf>
    <xf numFmtId="0" fontId="0" fillId="12" borderId="0" xfId="0" applyFill="1"/>
    <xf numFmtId="0" fontId="0" fillId="12" borderId="0" xfId="0" applyFill="1" applyAlignment="1">
      <alignment vertical="justify"/>
    </xf>
    <xf numFmtId="0" fontId="0" fillId="0" borderId="0" xfId="0" applyAlignment="1">
      <alignment vertical="justify"/>
    </xf>
    <xf numFmtId="0" fontId="0" fillId="0" borderId="0" xfId="0" applyAlignment="1">
      <alignment wrapText="1"/>
    </xf>
    <xf numFmtId="0" fontId="0" fillId="12" borderId="0" xfId="0" applyFill="1" applyAlignment="1">
      <alignment wrapText="1"/>
    </xf>
    <xf numFmtId="9" fontId="0" fillId="12" borderId="0" xfId="0" applyNumberFormat="1" applyFill="1" applyAlignment="1">
      <alignment wrapText="1"/>
    </xf>
    <xf numFmtId="165" fontId="0" fillId="0" borderId="0" xfId="0" applyNumberFormat="1" applyAlignment="1">
      <alignment wrapText="1"/>
    </xf>
    <xf numFmtId="165" fontId="0" fillId="12" borderId="0" xfId="0" applyNumberFormat="1" applyFill="1" applyAlignment="1">
      <alignment wrapText="1"/>
    </xf>
    <xf numFmtId="10" fontId="0" fillId="12" borderId="0" xfId="0" applyNumberFormat="1" applyFill="1" applyAlignment="1">
      <alignment wrapText="1"/>
    </xf>
    <xf numFmtId="0" fontId="13" fillId="0" borderId="2" xfId="0" applyFont="1" applyBorder="1" applyAlignment="1" applyProtection="1">
      <alignment wrapText="1"/>
      <protection locked="0"/>
    </xf>
    <xf numFmtId="0" fontId="13" fillId="0" borderId="2" xfId="0" applyFont="1" applyBorder="1" applyAlignment="1">
      <alignment vertical="center" wrapText="1"/>
    </xf>
    <xf numFmtId="165" fontId="13" fillId="0" borderId="2" xfId="0" applyNumberFormat="1" applyFont="1" applyBorder="1" applyAlignment="1" applyProtection="1">
      <alignment wrapText="1"/>
      <protection locked="0"/>
    </xf>
    <xf numFmtId="10" fontId="13" fillId="4" borderId="2" xfId="14" applyNumberFormat="1" applyFont="1" applyFill="1" applyBorder="1" applyAlignment="1">
      <alignment wrapText="1"/>
    </xf>
    <xf numFmtId="0" fontId="5" fillId="0" borderId="0" xfId="0" applyFont="1" applyAlignment="1">
      <alignment vertical="center" wrapText="1"/>
    </xf>
    <xf numFmtId="6" fontId="13" fillId="0" borderId="0" xfId="0" applyNumberFormat="1" applyFont="1" applyAlignment="1">
      <alignment horizontal="right" vertical="center" wrapText="1"/>
    </xf>
    <xf numFmtId="6" fontId="13" fillId="0" borderId="2" xfId="0" applyNumberFormat="1" applyFont="1" applyBorder="1" applyAlignment="1">
      <alignment horizontal="right" vertical="center" wrapText="1"/>
    </xf>
    <xf numFmtId="165" fontId="0" fillId="0" borderId="0" xfId="0" applyNumberFormat="1" applyAlignment="1">
      <alignment horizontal="right"/>
    </xf>
    <xf numFmtId="0" fontId="0" fillId="0" borderId="0" xfId="0" applyAlignment="1">
      <alignment horizontal="right"/>
    </xf>
    <xf numFmtId="0" fontId="5" fillId="4" borderId="0" xfId="0" applyFont="1" applyFill="1" applyAlignment="1">
      <alignment horizontal="right" vertical="center" wrapText="1"/>
    </xf>
    <xf numFmtId="6" fontId="5" fillId="4" borderId="2" xfId="0" applyNumberFormat="1" applyFont="1" applyFill="1" applyBorder="1" applyAlignment="1">
      <alignment horizontal="right" vertical="center" wrapText="1"/>
    </xf>
    <xf numFmtId="0" fontId="13" fillId="0" borderId="2" xfId="0" applyFont="1" applyBorder="1" applyAlignment="1">
      <alignment horizontal="right" wrapText="1"/>
    </xf>
    <xf numFmtId="0" fontId="13" fillId="11" borderId="2" xfId="0" applyFont="1" applyFill="1" applyBorder="1" applyAlignment="1">
      <alignment horizontal="right" wrapText="1"/>
    </xf>
    <xf numFmtId="165" fontId="13" fillId="0" borderId="2" xfId="0" applyNumberFormat="1" applyFont="1" applyBorder="1" applyAlignment="1">
      <alignment horizontal="right" wrapText="1"/>
    </xf>
    <xf numFmtId="0" fontId="13" fillId="4" borderId="2" xfId="27" applyFont="1" applyFill="1" applyBorder="1" applyAlignment="1">
      <alignment horizontal="center" wrapText="1"/>
    </xf>
    <xf numFmtId="0" fontId="13" fillId="4" borderId="2" xfId="27" applyFont="1" applyFill="1" applyBorder="1" applyAlignment="1">
      <alignment horizontal="right" wrapText="1"/>
    </xf>
    <xf numFmtId="0" fontId="13" fillId="4" borderId="2" xfId="27" applyFont="1" applyFill="1" applyBorder="1" applyAlignment="1">
      <alignment horizontal="right" vertical="center" wrapText="1"/>
    </xf>
    <xf numFmtId="1" fontId="13" fillId="4" borderId="2" xfId="27" applyNumberFormat="1" applyFont="1" applyFill="1" applyBorder="1" applyAlignment="1">
      <alignment horizontal="right" wrapText="1"/>
    </xf>
    <xf numFmtId="10" fontId="13" fillId="4" borderId="2" xfId="3" applyNumberFormat="1" applyFont="1" applyFill="1" applyBorder="1" applyAlignment="1">
      <alignment horizontal="right" wrapText="1"/>
    </xf>
    <xf numFmtId="0" fontId="13" fillId="0" borderId="2" xfId="27" applyFont="1" applyBorder="1" applyAlignment="1">
      <alignment horizontal="right" wrapText="1"/>
    </xf>
    <xf numFmtId="0" fontId="13" fillId="0" borderId="2" xfId="27" applyFont="1" applyBorder="1" applyAlignment="1">
      <alignment horizontal="right" vertical="center" wrapText="1"/>
    </xf>
    <xf numFmtId="170" fontId="13" fillId="4" borderId="2" xfId="1" applyNumberFormat="1" applyFont="1" applyFill="1" applyBorder="1" applyAlignment="1">
      <alignment horizontal="right" wrapText="1"/>
    </xf>
    <xf numFmtId="1" fontId="0" fillId="0" borderId="2" xfId="0" applyNumberFormat="1" applyBorder="1" applyAlignment="1">
      <alignment wrapText="1"/>
    </xf>
    <xf numFmtId="9" fontId="13" fillId="4" borderId="2" xfId="3" applyFont="1" applyFill="1" applyBorder="1" applyAlignment="1">
      <alignment horizontal="right" vertical="center" wrapText="1"/>
    </xf>
    <xf numFmtId="10" fontId="13" fillId="4" borderId="2" xfId="3" applyNumberFormat="1" applyFont="1" applyFill="1" applyBorder="1" applyAlignment="1">
      <alignment horizontal="right" vertical="center" wrapText="1"/>
    </xf>
    <xf numFmtId="0" fontId="5" fillId="0" borderId="0" xfId="0" applyFont="1" applyAlignment="1">
      <alignment horizontal="right" vertical="center" wrapText="1"/>
    </xf>
    <xf numFmtId="6" fontId="5" fillId="0" borderId="2" xfId="1" applyNumberFormat="1" applyFont="1" applyFill="1" applyBorder="1" applyAlignment="1">
      <alignment horizontal="right" wrapText="1"/>
    </xf>
    <xf numFmtId="0" fontId="13" fillId="0" borderId="0" xfId="0" applyFont="1"/>
    <xf numFmtId="10" fontId="0" fillId="13" borderId="2" xfId="0" applyNumberFormat="1" applyFill="1" applyBorder="1" applyAlignment="1">
      <alignment wrapText="1"/>
    </xf>
    <xf numFmtId="6" fontId="2" fillId="0" borderId="0" xfId="0" applyNumberFormat="1" applyFont="1"/>
    <xf numFmtId="0" fontId="0" fillId="0" borderId="4" xfId="0" applyBorder="1" applyProtection="1">
      <protection locked="0"/>
    </xf>
    <xf numFmtId="0" fontId="0" fillId="0" borderId="8" xfId="0" applyBorder="1" applyProtection="1">
      <protection locked="0"/>
    </xf>
    <xf numFmtId="0" fontId="0" fillId="0" borderId="5" xfId="0" applyBorder="1" applyProtection="1">
      <protection locked="0"/>
    </xf>
    <xf numFmtId="4" fontId="0" fillId="0" borderId="2" xfId="0" applyNumberFormat="1" applyBorder="1" applyAlignment="1">
      <alignment wrapText="1"/>
    </xf>
    <xf numFmtId="0" fontId="13" fillId="11" borderId="2" xfId="0" applyFont="1" applyFill="1" applyBorder="1" applyAlignment="1" applyProtection="1">
      <alignment horizontal="right" wrapText="1"/>
      <protection locked="0"/>
    </xf>
    <xf numFmtId="167" fontId="13" fillId="11" borderId="2" xfId="0" applyNumberFormat="1" applyFont="1" applyFill="1" applyBorder="1" applyAlignment="1" applyProtection="1">
      <alignment horizontal="right" wrapText="1"/>
      <protection locked="0"/>
    </xf>
    <xf numFmtId="165" fontId="13" fillId="11" borderId="2" xfId="0" applyNumberFormat="1" applyFont="1" applyFill="1" applyBorder="1" applyAlignment="1" applyProtection="1">
      <alignment horizontal="right" wrapText="1"/>
      <protection locked="0"/>
    </xf>
    <xf numFmtId="6" fontId="0" fillId="0" borderId="2" xfId="0" applyNumberFormat="1" applyBorder="1" applyAlignment="1">
      <alignment wrapText="1"/>
    </xf>
    <xf numFmtId="0" fontId="0" fillId="4" borderId="2" xfId="0" applyFill="1" applyBorder="1" applyAlignment="1">
      <alignment horizontal="center"/>
    </xf>
    <xf numFmtId="0" fontId="0" fillId="0" borderId="2" xfId="0" applyBorder="1"/>
    <xf numFmtId="165" fontId="0" fillId="0" borderId="2" xfId="0" applyNumberFormat="1" applyBorder="1"/>
    <xf numFmtId="165" fontId="13" fillId="0" borderId="2" xfId="1" applyNumberFormat="1" applyFont="1" applyBorder="1" applyAlignment="1" applyProtection="1">
      <alignment horizontal="right" wrapText="1"/>
      <protection locked="0"/>
    </xf>
    <xf numFmtId="165" fontId="13" fillId="0" borderId="2" xfId="28" applyNumberFormat="1" applyFont="1" applyBorder="1" applyAlignment="1" applyProtection="1">
      <alignment horizontal="right" wrapText="1"/>
      <protection locked="0"/>
    </xf>
    <xf numFmtId="165" fontId="0" fillId="0" borderId="2" xfId="28" applyNumberFormat="1" applyFont="1" applyFill="1" applyBorder="1" applyAlignment="1">
      <alignment wrapText="1"/>
    </xf>
    <xf numFmtId="165" fontId="5" fillId="0" borderId="2" xfId="0" applyNumberFormat="1" applyFont="1" applyBorder="1" applyAlignment="1">
      <alignment horizontal="right" vertical="center" wrapText="1"/>
    </xf>
    <xf numFmtId="0" fontId="0" fillId="4" borderId="5" xfId="0" applyFill="1" applyBorder="1"/>
    <xf numFmtId="0" fontId="24" fillId="4" borderId="11" xfId="0" applyFont="1" applyFill="1" applyBorder="1" applyAlignment="1">
      <alignment horizontal="right" wrapText="1"/>
    </xf>
    <xf numFmtId="0" fontId="0" fillId="0" borderId="2" xfId="0" applyBorder="1" applyAlignment="1">
      <alignment wrapText="1"/>
    </xf>
    <xf numFmtId="43" fontId="13" fillId="0" borderId="0" xfId="28" applyFont="1" applyAlignment="1">
      <alignment horizontal="right" vertical="center" wrapText="1"/>
    </xf>
    <xf numFmtId="3" fontId="13" fillId="0" borderId="2" xfId="0" applyNumberFormat="1" applyFont="1" applyBorder="1" applyAlignment="1">
      <alignment horizontal="right" vertical="center" wrapText="1"/>
    </xf>
    <xf numFmtId="0" fontId="5" fillId="0" borderId="2" xfId="0" applyFont="1" applyFill="1" applyBorder="1" applyAlignment="1">
      <alignment horizontal="right" wrapText="1"/>
    </xf>
    <xf numFmtId="3" fontId="5" fillId="4" borderId="2" xfId="0" applyNumberFormat="1" applyFont="1" applyFill="1" applyBorder="1" applyAlignment="1">
      <alignment horizontal="right" wrapText="1"/>
    </xf>
    <xf numFmtId="3" fontId="5" fillId="0" borderId="2" xfId="0" applyNumberFormat="1" applyFont="1" applyFill="1" applyBorder="1" applyAlignment="1">
      <alignment horizontal="right" wrapText="1"/>
    </xf>
    <xf numFmtId="0" fontId="13" fillId="4" borderId="2" xfId="0" applyFont="1" applyFill="1" applyBorder="1" applyAlignment="1">
      <alignment vertical="center" wrapText="1"/>
    </xf>
    <xf numFmtId="0" fontId="5" fillId="4" borderId="2" xfId="0" applyFont="1" applyFill="1" applyBorder="1" applyAlignment="1">
      <alignment vertical="center" wrapText="1"/>
    </xf>
    <xf numFmtId="0" fontId="5" fillId="0" borderId="2" xfId="0" applyFont="1" applyBorder="1" applyAlignment="1">
      <alignment vertical="center" wrapText="1"/>
    </xf>
    <xf numFmtId="9" fontId="13" fillId="4" borderId="2" xfId="0" applyNumberFormat="1" applyFont="1" applyFill="1" applyBorder="1" applyAlignment="1">
      <alignment horizontal="right" vertical="center" wrapText="1"/>
    </xf>
    <xf numFmtId="0" fontId="0" fillId="4" borderId="0" xfId="0" applyFill="1" applyAlignment="1">
      <alignment horizontal="center"/>
    </xf>
    <xf numFmtId="0" fontId="0" fillId="0" borderId="0" xfId="0" applyNumberFormat="1" applyProtection="1">
      <protection locked="0"/>
    </xf>
    <xf numFmtId="4" fontId="13" fillId="0" borderId="2" xfId="27" applyNumberFormat="1" applyFont="1" applyBorder="1" applyAlignment="1">
      <alignment horizontal="right" wrapText="1"/>
    </xf>
    <xf numFmtId="164" fontId="13" fillId="0" borderId="2" xfId="27" applyNumberFormat="1" applyFont="1" applyBorder="1" applyAlignment="1">
      <alignment horizontal="right" wrapText="1"/>
    </xf>
    <xf numFmtId="6" fontId="0" fillId="0" borderId="0" xfId="0" applyNumberFormat="1"/>
    <xf numFmtId="164" fontId="27" fillId="0" borderId="2" xfId="0" applyNumberFormat="1" applyFont="1" applyBorder="1" applyAlignment="1" applyProtection="1">
      <alignment horizontal="right" wrapText="1"/>
      <protection locked="0"/>
    </xf>
    <xf numFmtId="0" fontId="5" fillId="0" borderId="2" xfId="0" applyFont="1" applyBorder="1" applyAlignment="1">
      <alignment horizontal="right" wrapText="1"/>
    </xf>
    <xf numFmtId="0" fontId="5" fillId="4" borderId="2" xfId="0" applyFont="1" applyFill="1" applyBorder="1" applyAlignment="1">
      <alignment horizontal="right" wrapText="1"/>
    </xf>
    <xf numFmtId="165" fontId="5" fillId="0" borderId="2" xfId="1" applyNumberFormat="1" applyFont="1" applyFill="1" applyBorder="1" applyAlignment="1">
      <alignment horizontal="right" wrapText="1"/>
    </xf>
    <xf numFmtId="165" fontId="5" fillId="0" borderId="2" xfId="0" applyNumberFormat="1" applyFont="1" applyBorder="1" applyAlignment="1" applyProtection="1">
      <alignment horizontal="right" wrapText="1"/>
      <protection locked="0"/>
    </xf>
    <xf numFmtId="165" fontId="13" fillId="0" borderId="6" xfId="0" applyNumberFormat="1" applyFont="1" applyBorder="1" applyAlignment="1" applyProtection="1">
      <alignment horizontal="right" wrapText="1"/>
      <protection locked="0"/>
    </xf>
    <xf numFmtId="165" fontId="27" fillId="0" borderId="2" xfId="0" applyNumberFormat="1" applyFont="1" applyBorder="1" applyAlignment="1" applyProtection="1">
      <alignment horizontal="right" wrapText="1"/>
      <protection locked="0"/>
    </xf>
    <xf numFmtId="0" fontId="13" fillId="0" borderId="0" xfId="0" applyFont="1" applyAlignment="1" applyProtection="1">
      <alignment horizontal="right" wrapText="1"/>
      <protection locked="0"/>
    </xf>
    <xf numFmtId="10" fontId="0" fillId="0" borderId="0" xfId="0" applyNumberFormat="1" applyAlignment="1">
      <alignment wrapText="1"/>
    </xf>
    <xf numFmtId="165" fontId="13" fillId="0" borderId="0" xfId="0" applyNumberFormat="1" applyFont="1" applyAlignment="1" applyProtection="1">
      <alignment horizontal="right" wrapText="1"/>
      <protection locked="0"/>
    </xf>
    <xf numFmtId="10" fontId="13" fillId="0" borderId="0" xfId="14" applyNumberFormat="1" applyFont="1" applyAlignment="1">
      <alignment horizontal="right" wrapText="1"/>
    </xf>
    <xf numFmtId="0" fontId="28" fillId="14" borderId="2" xfId="0" applyFont="1" applyFill="1" applyBorder="1" applyAlignment="1">
      <alignment horizontal="center" vertical="center" wrapText="1"/>
    </xf>
    <xf numFmtId="0" fontId="29" fillId="0" borderId="2" xfId="0" applyFont="1" applyBorder="1" applyAlignment="1" applyProtection="1">
      <alignment horizontal="right" wrapText="1"/>
      <protection locked="0"/>
    </xf>
    <xf numFmtId="0" fontId="0" fillId="14" borderId="2" xfId="0" applyFill="1" applyBorder="1" applyAlignment="1">
      <alignment wrapText="1"/>
    </xf>
    <xf numFmtId="1" fontId="0" fillId="14" borderId="2" xfId="0" applyNumberFormat="1" applyFill="1" applyBorder="1" applyAlignment="1">
      <alignment wrapText="1"/>
    </xf>
    <xf numFmtId="167" fontId="29" fillId="0" borderId="2" xfId="0" applyNumberFormat="1" applyFont="1" applyBorder="1" applyAlignment="1" applyProtection="1">
      <alignment horizontal="right" wrapText="1"/>
      <protection locked="0"/>
    </xf>
    <xf numFmtId="10" fontId="0" fillId="14" borderId="2" xfId="0" applyNumberFormat="1" applyFill="1" applyBorder="1" applyAlignment="1">
      <alignment wrapText="1"/>
    </xf>
    <xf numFmtId="171" fontId="29" fillId="0" borderId="2" xfId="0" applyNumberFormat="1" applyFont="1" applyBorder="1" applyAlignment="1" applyProtection="1">
      <alignment horizontal="right" wrapText="1"/>
      <protection locked="0"/>
    </xf>
    <xf numFmtId="171" fontId="0" fillId="14" borderId="2" xfId="0" applyNumberFormat="1" applyFill="1" applyBorder="1" applyAlignment="1">
      <alignment wrapText="1"/>
    </xf>
    <xf numFmtId="171" fontId="29" fillId="0" borderId="1" xfId="0" applyNumberFormat="1" applyFont="1" applyBorder="1" applyAlignment="1" applyProtection="1">
      <alignment horizontal="right" wrapText="1"/>
      <protection locked="0"/>
    </xf>
    <xf numFmtId="10" fontId="29" fillId="14" borderId="2" xfId="29" applyNumberFormat="1" applyFont="1" applyFill="1" applyBorder="1" applyAlignment="1">
      <alignment horizontal="right" wrapText="1"/>
    </xf>
    <xf numFmtId="0" fontId="28" fillId="0" borderId="0" xfId="0" applyFont="1" applyAlignment="1">
      <alignment horizontal="center" vertical="center" wrapText="1"/>
    </xf>
    <xf numFmtId="0" fontId="28" fillId="14" borderId="0" xfId="0" applyFont="1" applyFill="1" applyAlignment="1">
      <alignment horizontal="center" vertical="center" wrapText="1"/>
    </xf>
    <xf numFmtId="6" fontId="12" fillId="0" borderId="0" xfId="0" applyNumberFormat="1" applyFont="1" applyAlignment="1">
      <alignment vertical="center" wrapText="1"/>
    </xf>
    <xf numFmtId="0" fontId="13" fillId="15" borderId="2" xfId="0" applyFont="1" applyFill="1" applyBorder="1" applyAlignment="1">
      <alignment horizontal="center" vertical="center" wrapText="1"/>
    </xf>
    <xf numFmtId="3" fontId="13" fillId="11" borderId="2" xfId="0" applyNumberFormat="1" applyFont="1" applyFill="1" applyBorder="1" applyAlignment="1">
      <alignment horizontal="center" vertical="center" wrapText="1"/>
    </xf>
    <xf numFmtId="165" fontId="5" fillId="4" borderId="2" xfId="0" applyNumberFormat="1" applyFont="1" applyFill="1" applyBorder="1" applyAlignment="1">
      <alignment horizontal="right" vertical="center" wrapText="1"/>
    </xf>
    <xf numFmtId="0" fontId="21" fillId="16" borderId="2" xfId="0" applyFont="1" applyFill="1" applyBorder="1" applyAlignment="1">
      <alignment horizontal="right" vertical="center" wrapText="1"/>
    </xf>
    <xf numFmtId="9" fontId="5" fillId="4" borderId="2" xfId="0" applyNumberFormat="1" applyFont="1" applyFill="1" applyBorder="1" applyAlignment="1">
      <alignment horizontal="right" wrapText="1"/>
    </xf>
    <xf numFmtId="10" fontId="5" fillId="4" borderId="2" xfId="0" applyNumberFormat="1" applyFont="1" applyFill="1" applyBorder="1" applyAlignment="1">
      <alignment horizontal="right" wrapText="1"/>
    </xf>
    <xf numFmtId="0" fontId="13" fillId="0" borderId="2" xfId="0" applyFont="1" applyFill="1" applyBorder="1" applyAlignment="1">
      <alignment horizontal="right" vertical="center" wrapText="1"/>
    </xf>
    <xf numFmtId="165" fontId="13" fillId="0" borderId="2" xfId="0" applyNumberFormat="1" applyFont="1" applyFill="1" applyBorder="1" applyAlignment="1">
      <alignment horizontal="right" vertical="center" wrapText="1"/>
    </xf>
    <xf numFmtId="0" fontId="5" fillId="0" borderId="2" xfId="0" applyFont="1" applyFill="1" applyBorder="1" applyAlignment="1">
      <alignment horizontal="right" vertical="center" wrapText="1"/>
    </xf>
    <xf numFmtId="0" fontId="0" fillId="10" borderId="2" xfId="0" applyFill="1" applyBorder="1" applyAlignment="1">
      <alignment horizontal="center" wrapText="1"/>
    </xf>
    <xf numFmtId="165" fontId="5" fillId="0" borderId="0" xfId="0" applyNumberFormat="1" applyFont="1" applyAlignment="1">
      <alignment horizontal="center" vertical="center" wrapText="1"/>
    </xf>
    <xf numFmtId="165" fontId="5" fillId="0" borderId="2" xfId="0" applyNumberFormat="1" applyFont="1" applyFill="1" applyBorder="1" applyAlignment="1">
      <alignment horizontal="right" vertical="center" wrapText="1"/>
    </xf>
    <xf numFmtId="165" fontId="31" fillId="0" borderId="0" xfId="0" applyNumberFormat="1" applyFont="1" applyFill="1"/>
    <xf numFmtId="0" fontId="2" fillId="17" borderId="2" xfId="0" applyFont="1" applyFill="1" applyBorder="1" applyAlignment="1">
      <alignment wrapText="1"/>
    </xf>
    <xf numFmtId="0" fontId="32" fillId="17" borderId="0" xfId="0" quotePrefix="1" applyFont="1" applyFill="1" applyAlignment="1">
      <alignment wrapText="1"/>
    </xf>
    <xf numFmtId="1" fontId="2" fillId="17" borderId="2" xfId="0" applyNumberFormat="1" applyFont="1" applyFill="1" applyBorder="1" applyAlignment="1">
      <alignment wrapText="1"/>
    </xf>
    <xf numFmtId="165" fontId="13" fillId="11" borderId="4" xfId="0" applyNumberFormat="1" applyFont="1" applyFill="1" applyBorder="1" applyAlignment="1">
      <alignment horizontal="right" vertical="center" wrapText="1"/>
    </xf>
    <xf numFmtId="165" fontId="13" fillId="0" borderId="4" xfId="0" applyNumberFormat="1" applyFont="1" applyFill="1" applyBorder="1" applyAlignment="1">
      <alignment horizontal="right" vertical="center" wrapText="1"/>
    </xf>
    <xf numFmtId="165" fontId="13" fillId="18" borderId="2" xfId="0" applyNumberFormat="1" applyFont="1" applyFill="1" applyBorder="1" applyAlignment="1">
      <alignment horizontal="right" vertical="center" wrapText="1"/>
    </xf>
    <xf numFmtId="44" fontId="13" fillId="0" borderId="2" xfId="1" applyFont="1" applyFill="1" applyBorder="1" applyAlignment="1">
      <alignment horizontal="right" vertical="center" wrapText="1"/>
    </xf>
    <xf numFmtId="44" fontId="13" fillId="4" borderId="2" xfId="1" applyFont="1" applyFill="1" applyBorder="1" applyAlignment="1">
      <alignment horizontal="right" vertical="center" wrapText="1"/>
    </xf>
    <xf numFmtId="0" fontId="33" fillId="4" borderId="2" xfId="0" applyFont="1" applyFill="1" applyBorder="1" applyAlignment="1">
      <alignment horizontal="right" wrapText="1"/>
    </xf>
    <xf numFmtId="1" fontId="33" fillId="4" borderId="2" xfId="0" applyNumberFormat="1" applyFont="1" applyFill="1" applyBorder="1" applyAlignment="1">
      <alignment horizontal="right" wrapText="1"/>
    </xf>
    <xf numFmtId="10" fontId="33" fillId="4" borderId="2" xfId="0" applyNumberFormat="1" applyFont="1" applyFill="1" applyBorder="1" applyAlignment="1">
      <alignment horizontal="right" wrapText="1"/>
    </xf>
    <xf numFmtId="44" fontId="27" fillId="0" borderId="2" xfId="1" applyFont="1" applyFill="1" applyBorder="1" applyAlignment="1">
      <alignment horizontal="right" vertical="center" wrapText="1"/>
    </xf>
    <xf numFmtId="44" fontId="27" fillId="4" borderId="2" xfId="1" applyFont="1" applyFill="1" applyBorder="1" applyAlignment="1">
      <alignment horizontal="right" vertical="center" wrapText="1"/>
    </xf>
    <xf numFmtId="0" fontId="0" fillId="0" borderId="0" xfId="0" applyFont="1" applyAlignment="1" applyProtection="1">
      <alignment horizontal="center"/>
      <protection locked="0"/>
    </xf>
    <xf numFmtId="165" fontId="13" fillId="4" borderId="2" xfId="0" applyNumberFormat="1" applyFont="1" applyFill="1" applyBorder="1" applyAlignment="1">
      <alignment horizontal="right" wrapText="1"/>
    </xf>
    <xf numFmtId="10" fontId="13" fillId="4" borderId="2" xfId="0" applyNumberFormat="1" applyFont="1" applyFill="1" applyBorder="1" applyAlignment="1">
      <alignment horizontal="right" wrapText="1"/>
    </xf>
    <xf numFmtId="0" fontId="5" fillId="19" borderId="2" xfId="0" applyFont="1" applyFill="1" applyBorder="1" applyAlignment="1">
      <alignment horizontal="right" wrapText="1"/>
    </xf>
    <xf numFmtId="0" fontId="5" fillId="18" borderId="2" xfId="0" applyFont="1" applyFill="1" applyBorder="1" applyAlignment="1">
      <alignment horizontal="right" wrapText="1"/>
    </xf>
    <xf numFmtId="172" fontId="5" fillId="19" borderId="2" xfId="0" applyNumberFormat="1" applyFont="1" applyFill="1" applyBorder="1" applyAlignment="1">
      <alignment horizontal="right" wrapText="1"/>
    </xf>
    <xf numFmtId="0" fontId="5" fillId="0" borderId="0" xfId="0" applyFont="1" applyAlignment="1">
      <alignment horizontal="right" wrapText="1"/>
    </xf>
    <xf numFmtId="0" fontId="5" fillId="4" borderId="0" xfId="0" applyFont="1" applyFill="1" applyAlignment="1">
      <alignment horizontal="right" wrapText="1"/>
    </xf>
    <xf numFmtId="173" fontId="30" fillId="4" borderId="2" xfId="0" applyNumberFormat="1" applyFont="1" applyFill="1" applyBorder="1" applyAlignment="1">
      <alignment horizontal="right" wrapText="1"/>
    </xf>
    <xf numFmtId="173" fontId="30" fillId="19" borderId="2" xfId="0" applyNumberFormat="1" applyFont="1" applyFill="1" applyBorder="1" applyAlignment="1">
      <alignment horizontal="right" wrapText="1"/>
    </xf>
    <xf numFmtId="0" fontId="0" fillId="4" borderId="0" xfId="0" applyFill="1"/>
    <xf numFmtId="10" fontId="23" fillId="4" borderId="0" xfId="0" applyNumberFormat="1" applyFont="1" applyFill="1"/>
    <xf numFmtId="165" fontId="0" fillId="0" borderId="2" xfId="0" applyNumberFormat="1" applyFill="1" applyBorder="1" applyAlignment="1">
      <alignment horizontal="right" wrapText="1"/>
    </xf>
    <xf numFmtId="0" fontId="5" fillId="0" borderId="0" xfId="0" applyFont="1" applyFill="1" applyAlignment="1">
      <alignment horizontal="right" vertical="center" wrapText="1"/>
    </xf>
    <xf numFmtId="0" fontId="21" fillId="20" borderId="2" xfId="0" applyFont="1" applyFill="1" applyBorder="1" applyAlignment="1">
      <alignment horizontal="right" vertical="center" wrapText="1"/>
    </xf>
    <xf numFmtId="0" fontId="2" fillId="4" borderId="0" xfId="0" applyFont="1" applyFill="1"/>
    <xf numFmtId="0" fontId="13" fillId="4" borderId="0" xfId="0" applyFont="1" applyFill="1"/>
    <xf numFmtId="6" fontId="2" fillId="4" borderId="0" xfId="0" applyNumberFormat="1" applyFont="1" applyFill="1"/>
    <xf numFmtId="0" fontId="21" fillId="0" borderId="2" xfId="0" applyFont="1" applyFill="1" applyBorder="1" applyAlignment="1">
      <alignment horizontal="right" vertical="center" wrapText="1"/>
    </xf>
    <xf numFmtId="3" fontId="2" fillId="0" borderId="0" xfId="0" applyNumberFormat="1" applyFont="1" applyFill="1"/>
    <xf numFmtId="165" fontId="5" fillId="4" borderId="2" xfId="1" applyNumberFormat="1" applyFont="1" applyFill="1" applyBorder="1" applyAlignment="1">
      <alignment horizontal="right" wrapText="1"/>
    </xf>
    <xf numFmtId="10" fontId="5" fillId="4" borderId="2" xfId="14" applyNumberFormat="1" applyFont="1" applyFill="1" applyBorder="1" applyAlignment="1">
      <alignment horizontal="right" wrapText="1"/>
    </xf>
    <xf numFmtId="164" fontId="13" fillId="0" borderId="8" xfId="0" applyNumberFormat="1" applyFont="1" applyBorder="1" applyAlignment="1">
      <alignment horizontal="right"/>
    </xf>
    <xf numFmtId="0" fontId="23" fillId="4" borderId="2" xfId="0" applyFont="1" applyFill="1" applyBorder="1" applyAlignment="1">
      <alignment horizontal="center"/>
    </xf>
    <xf numFmtId="0" fontId="34" fillId="4" borderId="0" xfId="0" applyFont="1" applyFill="1"/>
    <xf numFmtId="0" fontId="4" fillId="0" borderId="0" xfId="0" applyFont="1"/>
    <xf numFmtId="2" fontId="13" fillId="0" borderId="2" xfId="0" applyNumberFormat="1" applyFont="1" applyBorder="1" applyAlignment="1" applyProtection="1">
      <alignment horizontal="right" wrapText="1"/>
      <protection locked="0"/>
    </xf>
    <xf numFmtId="0" fontId="35" fillId="0" borderId="0" xfId="0" applyFont="1" applyProtection="1">
      <protection locked="0"/>
    </xf>
    <xf numFmtId="3" fontId="0" fillId="0" borderId="5" xfId="0" applyNumberFormat="1" applyBorder="1"/>
    <xf numFmtId="6" fontId="13" fillId="4" borderId="2" xfId="0" applyNumberFormat="1" applyFont="1" applyFill="1" applyBorder="1" applyAlignment="1">
      <alignment horizontal="right" vertical="center" wrapText="1"/>
    </xf>
    <xf numFmtId="0" fontId="0" fillId="0" borderId="4" xfId="0" applyBorder="1" applyAlignment="1">
      <alignment horizontal="right"/>
    </xf>
    <xf numFmtId="0" fontId="0" fillId="0" borderId="16" xfId="0" applyBorder="1" applyAlignment="1">
      <alignment horizontal="right"/>
    </xf>
    <xf numFmtId="0" fontId="5" fillId="4" borderId="16" xfId="0" applyFont="1" applyFill="1" applyBorder="1" applyAlignment="1">
      <alignment horizontal="right" vertical="center" wrapText="1"/>
    </xf>
    <xf numFmtId="0" fontId="5" fillId="4" borderId="5" xfId="0" applyFont="1" applyFill="1" applyBorder="1" applyAlignment="1">
      <alignment horizontal="right" vertical="center" wrapText="1"/>
    </xf>
    <xf numFmtId="0" fontId="0" fillId="0" borderId="2" xfId="0" applyBorder="1" applyAlignment="1">
      <alignment horizontal="right"/>
    </xf>
    <xf numFmtId="6" fontId="13" fillId="0" borderId="2" xfId="0" applyNumberFormat="1" applyFont="1" applyFill="1" applyBorder="1" applyAlignment="1">
      <alignment horizontal="right" vertical="center" wrapText="1"/>
    </xf>
    <xf numFmtId="0" fontId="13" fillId="4" borderId="2" xfId="0" applyFont="1" applyFill="1" applyBorder="1" applyAlignment="1" applyProtection="1">
      <alignment horizontal="center" vertical="center" wrapText="1"/>
      <protection locked="0"/>
    </xf>
    <xf numFmtId="0" fontId="2" fillId="13" borderId="5" xfId="0" applyFont="1" applyFill="1" applyBorder="1" applyAlignment="1">
      <alignment horizontal="center"/>
    </xf>
    <xf numFmtId="0" fontId="15" fillId="8" borderId="17" xfId="0" applyFont="1" applyFill="1" applyBorder="1" applyAlignment="1">
      <alignment horizontal="center" vertical="center" wrapText="1"/>
    </xf>
    <xf numFmtId="0" fontId="21" fillId="16" borderId="17" xfId="0" applyFont="1" applyFill="1" applyBorder="1" applyAlignment="1">
      <alignment horizontal="right" vertical="center" wrapText="1"/>
    </xf>
    <xf numFmtId="0" fontId="21" fillId="16" borderId="0" xfId="0" applyFont="1" applyFill="1" applyAlignment="1">
      <alignment horizontal="right" vertical="center" wrapText="1"/>
    </xf>
    <xf numFmtId="0" fontId="21" fillId="20" borderId="0" xfId="0" applyFont="1" applyFill="1" applyAlignment="1">
      <alignment horizontal="right" vertical="center" wrapText="1"/>
    </xf>
    <xf numFmtId="0" fontId="21" fillId="20" borderId="18" xfId="0" applyFont="1" applyFill="1" applyBorder="1" applyAlignment="1">
      <alignment horizontal="right" vertical="center" wrapText="1"/>
    </xf>
    <xf numFmtId="0" fontId="21" fillId="16" borderId="18" xfId="0" applyFont="1" applyFill="1" applyBorder="1" applyAlignment="1">
      <alignment horizontal="right" vertical="center" wrapText="1"/>
    </xf>
    <xf numFmtId="6" fontId="21" fillId="0" borderId="18" xfId="0" applyNumberFormat="1" applyFont="1" applyBorder="1" applyAlignment="1">
      <alignment horizontal="right" vertical="center" wrapText="1"/>
    </xf>
    <xf numFmtId="6" fontId="21" fillId="20" borderId="18" xfId="0" applyNumberFormat="1" applyFont="1" applyFill="1" applyBorder="1" applyAlignment="1">
      <alignment horizontal="right" vertical="center" wrapText="1"/>
    </xf>
    <xf numFmtId="6" fontId="21" fillId="16" borderId="18" xfId="0" applyNumberFormat="1" applyFont="1" applyFill="1" applyBorder="1" applyAlignment="1">
      <alignment horizontal="right" vertical="center" wrapText="1"/>
    </xf>
    <xf numFmtId="3" fontId="21" fillId="16" borderId="18" xfId="0" applyNumberFormat="1" applyFont="1" applyFill="1" applyBorder="1" applyAlignment="1">
      <alignment horizontal="right" vertical="center" wrapText="1"/>
    </xf>
    <xf numFmtId="10" fontId="21" fillId="20" borderId="0" xfId="0" applyNumberFormat="1" applyFont="1" applyFill="1" applyAlignment="1">
      <alignment horizontal="right" vertical="center" wrapText="1"/>
    </xf>
    <xf numFmtId="0" fontId="21" fillId="8" borderId="0" xfId="0" applyFont="1" applyFill="1" applyAlignment="1">
      <alignment horizontal="center" vertical="center" wrapText="1"/>
    </xf>
    <xf numFmtId="9" fontId="13" fillId="4" borderId="2" xfId="0" applyNumberFormat="1" applyFont="1" applyFill="1" applyBorder="1" applyAlignment="1">
      <alignment horizontal="right" wrapText="1"/>
    </xf>
    <xf numFmtId="3" fontId="13" fillId="4" borderId="2" xfId="0" applyNumberFormat="1" applyFont="1" applyFill="1" applyBorder="1" applyAlignment="1">
      <alignment horizontal="right" wrapText="1"/>
    </xf>
    <xf numFmtId="3" fontId="13" fillId="4" borderId="2" xfId="0" applyNumberFormat="1" applyFont="1" applyFill="1" applyBorder="1" applyAlignment="1">
      <alignment horizontal="right" vertical="center" wrapText="1"/>
    </xf>
    <xf numFmtId="6" fontId="13" fillId="0" borderId="2" xfId="1" applyNumberFormat="1" applyFont="1" applyFill="1" applyBorder="1" applyAlignment="1">
      <alignment horizontal="right" wrapText="1"/>
    </xf>
    <xf numFmtId="165" fontId="13" fillId="0" borderId="2" xfId="1" applyNumberFormat="1" applyFont="1" applyFill="1" applyBorder="1" applyAlignment="1">
      <alignment horizontal="right" wrapText="1"/>
    </xf>
    <xf numFmtId="165" fontId="13" fillId="4" borderId="2" xfId="1" applyNumberFormat="1" applyFont="1" applyFill="1" applyBorder="1" applyAlignment="1">
      <alignment horizontal="right" wrapText="1"/>
    </xf>
    <xf numFmtId="0" fontId="0" fillId="0" borderId="2" xfId="0" applyBorder="1" applyAlignment="1">
      <alignment wrapText="1"/>
    </xf>
    <xf numFmtId="0" fontId="13" fillId="19" borderId="2" xfId="0" applyFont="1" applyFill="1" applyBorder="1" applyAlignment="1">
      <alignment horizontal="right" wrapText="1"/>
    </xf>
    <xf numFmtId="0" fontId="13" fillId="18" borderId="2" xfId="0" applyFont="1" applyFill="1" applyBorder="1" applyAlignment="1">
      <alignment horizontal="right" wrapText="1"/>
    </xf>
    <xf numFmtId="172" fontId="13" fillId="19" borderId="2" xfId="0" applyNumberFormat="1" applyFont="1" applyFill="1" applyBorder="1" applyAlignment="1">
      <alignment horizontal="right" wrapText="1"/>
    </xf>
    <xf numFmtId="173" fontId="27" fillId="4" borderId="2" xfId="0" applyNumberFormat="1" applyFont="1" applyFill="1" applyBorder="1" applyAlignment="1">
      <alignment horizontal="right" wrapText="1"/>
    </xf>
    <xf numFmtId="173" fontId="27" fillId="19" borderId="2" xfId="0" applyNumberFormat="1" applyFont="1" applyFill="1" applyBorder="1" applyAlignment="1">
      <alignment horizontal="right" wrapText="1"/>
    </xf>
    <xf numFmtId="6" fontId="12" fillId="0" borderId="2" xfId="0" applyNumberFormat="1" applyFont="1" applyBorder="1" applyAlignment="1">
      <alignment wrapText="1"/>
    </xf>
    <xf numFmtId="164" fontId="27" fillId="0" borderId="8" xfId="0" applyNumberFormat="1" applyFont="1" applyBorder="1" applyAlignment="1">
      <alignment horizontal="right"/>
    </xf>
    <xf numFmtId="0" fontId="0" fillId="4" borderId="2" xfId="0" applyFont="1" applyFill="1" applyBorder="1" applyAlignment="1">
      <alignment horizontal="center"/>
    </xf>
    <xf numFmtId="8" fontId="5" fillId="0" borderId="2" xfId="0" applyNumberFormat="1" applyFont="1" applyBorder="1" applyAlignment="1">
      <alignment horizontal="right" wrapText="1"/>
    </xf>
    <xf numFmtId="8" fontId="5" fillId="4" borderId="2" xfId="0" applyNumberFormat="1" applyFont="1" applyFill="1" applyBorder="1" applyAlignment="1">
      <alignment horizontal="right" wrapText="1"/>
    </xf>
    <xf numFmtId="164" fontId="5" fillId="0" borderId="2" xfId="0" applyNumberFormat="1" applyFont="1" applyBorder="1" applyAlignment="1">
      <alignment horizontal="right" wrapText="1"/>
    </xf>
    <xf numFmtId="6" fontId="5" fillId="0" borderId="2" xfId="0" applyNumberFormat="1" applyFont="1" applyBorder="1" applyAlignment="1">
      <alignment horizontal="right" wrapText="1"/>
    </xf>
    <xf numFmtId="10" fontId="23" fillId="4" borderId="2" xfId="0" applyNumberFormat="1" applyFont="1" applyFill="1" applyBorder="1"/>
    <xf numFmtId="164" fontId="13" fillId="0" borderId="2" xfId="0" applyNumberFormat="1" applyFont="1" applyBorder="1" applyAlignment="1">
      <alignment horizontal="right" vertical="center" wrapText="1"/>
    </xf>
    <xf numFmtId="164" fontId="27" fillId="0" borderId="2" xfId="0" applyNumberFormat="1" applyFont="1" applyBorder="1" applyAlignment="1">
      <alignment horizontal="right" vertical="center" wrapText="1"/>
    </xf>
    <xf numFmtId="164" fontId="0" fillId="0" borderId="0" xfId="0" applyNumberFormat="1"/>
    <xf numFmtId="0" fontId="13" fillId="0" borderId="2" xfId="0" applyFont="1" applyFill="1" applyBorder="1" applyAlignment="1" applyProtection="1">
      <alignment wrapText="1"/>
    </xf>
    <xf numFmtId="0" fontId="0" fillId="0" borderId="2" xfId="0" applyFont="1" applyBorder="1" applyAlignment="1" applyProtection="1">
      <alignment wrapText="1"/>
    </xf>
    <xf numFmtId="0" fontId="0" fillId="0" borderId="2" xfId="0" applyFont="1" applyBorder="1" applyAlignment="1" applyProtection="1">
      <alignment wrapText="1"/>
      <protection locked="0"/>
    </xf>
    <xf numFmtId="0" fontId="0" fillId="0" borderId="2" xfId="0" applyBorder="1" applyAlignment="1">
      <alignment wrapText="1"/>
    </xf>
    <xf numFmtId="0" fontId="0" fillId="0" borderId="2" xfId="0" applyFont="1" applyBorder="1" applyAlignment="1"/>
    <xf numFmtId="0" fontId="0" fillId="0" borderId="2" xfId="0" applyBorder="1" applyAlignment="1"/>
    <xf numFmtId="0" fontId="13" fillId="0" borderId="4" xfId="0" applyFont="1" applyFill="1" applyBorder="1" applyAlignment="1">
      <alignment wrapText="1"/>
    </xf>
    <xf numFmtId="0" fontId="13" fillId="0" borderId="8" xfId="0" applyFont="1" applyFill="1" applyBorder="1" applyAlignment="1">
      <alignment wrapText="1"/>
    </xf>
    <xf numFmtId="0" fontId="13" fillId="0" borderId="5" xfId="0" applyFont="1" applyFill="1" applyBorder="1" applyAlignment="1">
      <alignment wrapText="1"/>
    </xf>
    <xf numFmtId="0" fontId="0" fillId="0" borderId="4" xfId="0" applyFont="1" applyBorder="1" applyAlignment="1" applyProtection="1">
      <alignment wrapText="1"/>
      <protection locked="0"/>
    </xf>
    <xf numFmtId="0" fontId="0" fillId="0" borderId="8"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2" xfId="0" applyBorder="1" applyAlignment="1" applyProtection="1">
      <alignment wrapText="1"/>
      <protection locked="0"/>
    </xf>
    <xf numFmtId="0" fontId="13" fillId="0" borderId="2" xfId="0" applyFont="1" applyFill="1" applyBorder="1" applyAlignment="1" applyProtection="1">
      <alignment horizontal="left" wrapText="1"/>
    </xf>
    <xf numFmtId="0" fontId="0" fillId="0" borderId="2" xfId="0" applyFont="1" applyBorder="1" applyAlignment="1">
      <alignment wrapText="1"/>
    </xf>
    <xf numFmtId="0" fontId="7" fillId="0" borderId="2"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0" fillId="0" borderId="2" xfId="0" applyFont="1" applyFill="1" applyBorder="1" applyAlignment="1">
      <alignment wrapText="1"/>
    </xf>
    <xf numFmtId="46" fontId="0" fillId="0" borderId="2" xfId="0" applyNumberFormat="1" applyFont="1" applyBorder="1" applyAlignment="1" applyProtection="1">
      <alignment wrapText="1"/>
      <protection locked="0"/>
    </xf>
    <xf numFmtId="0" fontId="0" fillId="0" borderId="2" xfId="0" applyFont="1" applyBorder="1" applyAlignment="1" applyProtection="1">
      <protection locked="0"/>
    </xf>
    <xf numFmtId="0" fontId="0" fillId="0" borderId="2" xfId="0" applyFont="1" applyFill="1" applyBorder="1" applyAlignment="1" applyProtection="1">
      <alignment wrapText="1"/>
    </xf>
    <xf numFmtId="0" fontId="0" fillId="0" borderId="2" xfId="0" applyNumberFormat="1" applyFont="1" applyFill="1" applyBorder="1" applyAlignment="1" applyProtection="1">
      <alignment horizontal="left" wrapText="1"/>
    </xf>
    <xf numFmtId="0" fontId="0" fillId="0" borderId="2" xfId="0" applyFont="1" applyFill="1" applyBorder="1" applyAlignment="1" applyProtection="1">
      <alignment horizontal="left" wrapText="1"/>
    </xf>
    <xf numFmtId="0" fontId="5" fillId="0" borderId="2" xfId="0" applyFont="1" applyFill="1" applyBorder="1" applyAlignment="1" applyProtection="1">
      <alignment horizontal="left" wrapText="1"/>
    </xf>
    <xf numFmtId="0" fontId="0" fillId="0" borderId="4" xfId="0" applyBorder="1" applyAlignment="1" applyProtection="1">
      <alignment wrapText="1"/>
      <protection locked="0"/>
    </xf>
    <xf numFmtId="0" fontId="0" fillId="0" borderId="8" xfId="0" applyBorder="1" applyAlignment="1">
      <alignment wrapText="1"/>
    </xf>
    <xf numFmtId="0" fontId="0" fillId="0" borderId="5" xfId="0" applyBorder="1" applyAlignment="1">
      <alignment wrapText="1"/>
    </xf>
    <xf numFmtId="0" fontId="0" fillId="0" borderId="2" xfId="0" applyFill="1" applyBorder="1" applyAlignment="1" applyProtection="1">
      <alignment wrapText="1"/>
    </xf>
    <xf numFmtId="0" fontId="0" fillId="0" borderId="2" xfId="0" applyBorder="1" applyAlignment="1" applyProtection="1">
      <alignment wrapText="1"/>
    </xf>
    <xf numFmtId="49" fontId="0" fillId="4" borderId="2" xfId="0" applyNumberFormat="1" applyFont="1" applyFill="1" applyBorder="1" applyAlignment="1" applyProtection="1">
      <alignment horizontal="center" wrapText="1"/>
    </xf>
    <xf numFmtId="0" fontId="0" fillId="0" borderId="2" xfId="0" applyFont="1" applyBorder="1" applyAlignment="1" applyProtection="1"/>
    <xf numFmtId="0" fontId="0" fillId="0" borderId="2" xfId="0" applyFont="1" applyBorder="1" applyAlignment="1" applyProtection="1">
      <alignment horizontal="left" wrapText="1"/>
    </xf>
    <xf numFmtId="0" fontId="0" fillId="0" borderId="2" xfId="0" applyFont="1" applyFill="1" applyBorder="1" applyAlignment="1" applyProtection="1">
      <alignment wrapText="1"/>
      <protection locked="0"/>
    </xf>
    <xf numFmtId="0" fontId="0" fillId="0" borderId="2" xfId="0" applyBorder="1" applyAlignment="1" applyProtection="1">
      <protection locked="0"/>
    </xf>
    <xf numFmtId="0" fontId="0" fillId="0" borderId="4" xfId="0" applyFont="1" applyBorder="1" applyAlignment="1" applyProtection="1">
      <protection locked="0"/>
    </xf>
    <xf numFmtId="0" fontId="0" fillId="0" borderId="8" xfId="0" applyBorder="1" applyAlignment="1"/>
    <xf numFmtId="0" fontId="0" fillId="0" borderId="5" xfId="0" applyBorder="1" applyAlignment="1"/>
    <xf numFmtId="0" fontId="3" fillId="0" borderId="0" xfId="2" applyAlignment="1">
      <alignment horizontal="left"/>
    </xf>
    <xf numFmtId="0" fontId="0" fillId="0" borderId="2" xfId="0" applyFont="1" applyBorder="1" applyAlignment="1" applyProtection="1">
      <alignment horizontal="left" wrapText="1"/>
      <protection locked="0"/>
    </xf>
    <xf numFmtId="0" fontId="0" fillId="0" borderId="2" xfId="0" applyFont="1" applyBorder="1" applyAlignment="1">
      <alignment horizontal="left" wrapText="1"/>
    </xf>
    <xf numFmtId="0" fontId="7" fillId="0" borderId="2" xfId="0" applyFont="1"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8" xfId="0" applyFont="1" applyBorder="1" applyAlignment="1">
      <alignment wrapText="1"/>
    </xf>
    <xf numFmtId="0" fontId="0" fillId="0" borderId="5" xfId="0" applyFont="1" applyBorder="1" applyAlignment="1">
      <alignment wrapText="1"/>
    </xf>
    <xf numFmtId="0" fontId="0" fillId="0" borderId="2" xfId="0" applyNumberFormat="1" applyBorder="1" applyAlignment="1" applyProtection="1">
      <alignment wrapText="1"/>
    </xf>
    <xf numFmtId="0" fontId="0" fillId="0" borderId="2" xfId="0" applyNumberFormat="1" applyBorder="1" applyAlignment="1">
      <alignment wrapText="1"/>
    </xf>
    <xf numFmtId="0" fontId="36" fillId="0" borderId="0" xfId="0" applyFont="1" applyAlignment="1">
      <alignment horizontal="left"/>
    </xf>
    <xf numFmtId="0" fontId="37" fillId="0" borderId="0" xfId="0" applyFont="1" applyAlignment="1">
      <alignment horizontal="left"/>
    </xf>
    <xf numFmtId="0" fontId="13" fillId="0" borderId="2" xfId="0" applyFont="1" applyFill="1" applyBorder="1" applyAlignment="1" applyProtection="1">
      <alignment horizontal="left"/>
    </xf>
    <xf numFmtId="0" fontId="0" fillId="0" borderId="2" xfId="0" applyFont="1" applyFill="1" applyBorder="1" applyAlignment="1" applyProtection="1">
      <alignment horizontal="left"/>
    </xf>
    <xf numFmtId="0" fontId="0" fillId="0" borderId="2" xfId="0" applyBorder="1" applyAlignment="1">
      <alignment horizontal="left" wrapText="1"/>
    </xf>
    <xf numFmtId="0" fontId="22" fillId="0" borderId="2" xfId="0" applyFont="1" applyBorder="1" applyAlignment="1">
      <alignment wrapText="1"/>
    </xf>
    <xf numFmtId="46" fontId="0" fillId="0" borderId="4" xfId="0" applyNumberFormat="1" applyFont="1" applyBorder="1" applyAlignment="1" applyProtection="1">
      <protection locked="0"/>
    </xf>
    <xf numFmtId="0" fontId="0" fillId="0" borderId="7" xfId="0" applyFont="1" applyBorder="1" applyAlignment="1" applyProtection="1">
      <alignment wrapText="1"/>
      <protection locked="0"/>
    </xf>
    <xf numFmtId="0" fontId="0" fillId="0" borderId="7" xfId="0" applyBorder="1" applyAlignment="1">
      <alignment wrapText="1"/>
    </xf>
    <xf numFmtId="46" fontId="0" fillId="0" borderId="2" xfId="0" applyNumberFormat="1" applyFont="1" applyBorder="1" applyAlignment="1" applyProtection="1">
      <alignment wrapText="1"/>
    </xf>
    <xf numFmtId="0" fontId="11" fillId="0" borderId="2" xfId="0" applyFont="1" applyBorder="1" applyAlignment="1" applyProtection="1">
      <alignment wrapText="1"/>
    </xf>
    <xf numFmtId="0" fontId="0" fillId="0" borderId="1" xfId="0" applyNumberFormat="1" applyFont="1" applyFill="1" applyBorder="1" applyAlignment="1" applyProtection="1">
      <alignment horizontal="left" wrapText="1"/>
    </xf>
    <xf numFmtId="0" fontId="0" fillId="0" borderId="1" xfId="0" applyFont="1" applyBorder="1" applyAlignment="1">
      <alignment horizontal="left" wrapText="1"/>
    </xf>
    <xf numFmtId="0" fontId="0" fillId="0" borderId="1" xfId="0" applyBorder="1" applyAlignment="1">
      <alignment horizontal="left" wrapText="1"/>
    </xf>
    <xf numFmtId="0" fontId="0" fillId="0" borderId="8" xfId="0" applyBorder="1" applyAlignment="1" applyProtection="1">
      <alignment horizontal="left"/>
      <protection locked="0"/>
    </xf>
    <xf numFmtId="0" fontId="0" fillId="0" borderId="8" xfId="0" applyBorder="1" applyAlignment="1" applyProtection="1">
      <alignment wrapText="1"/>
      <protection locked="0"/>
    </xf>
    <xf numFmtId="0" fontId="0" fillId="0" borderId="4"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2" xfId="0" applyFont="1" applyBorder="1" applyAlignment="1" applyProtection="1">
      <alignment vertical="top" wrapText="1"/>
      <protection locked="0"/>
    </xf>
    <xf numFmtId="0" fontId="0" fillId="0" borderId="2" xfId="0" applyFont="1" applyBorder="1" applyAlignment="1">
      <alignment vertical="top" wrapText="1"/>
    </xf>
  </cellXfs>
  <cellStyles count="30">
    <cellStyle name="Comma" xfId="28" builtinId="3"/>
    <cellStyle name="Currency" xfId="1" builtinId="4"/>
    <cellStyle name="Explanatory Text" xfId="29" builtinId="5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6" builtinId="9" hidden="1"/>
    <cellStyle name="Hyperlink" xfId="2" builtinId="8"/>
    <cellStyle name="Normal" xfId="0" builtinId="0"/>
    <cellStyle name="Normal 2" xfId="27" xr:uid="{B2B2C3EF-CCA7-4883-A1DE-53CF530FB87C}"/>
    <cellStyle name="Normal 3" xfId="14" xr:uid="{00000000-0005-0000-0000-000018000000}"/>
    <cellStyle name="Normal 5" xfId="22" xr:uid="{00000000-0005-0000-0000-00001900000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123825</xdr:colOff>
      <xdr:row>44</xdr:row>
      <xdr:rowOff>180975</xdr:rowOff>
    </xdr:to>
    <xdr:sp macro="" textlink="">
      <xdr:nvSpPr>
        <xdr:cNvPr id="2" name="AutoShape 13">
          <a:extLst>
            <a:ext uri="{FF2B5EF4-FFF2-40B4-BE49-F238E27FC236}">
              <a16:creationId xmlns:a16="http://schemas.microsoft.com/office/drawing/2014/main" id="{EC02D964-EAB1-42A7-88EF-F61556B69ACD}"/>
            </a:ext>
          </a:extLst>
        </xdr:cNvPr>
        <xdr:cNvSpPr>
          <a:spLocks noChangeArrowheads="1"/>
        </xdr:cNvSpPr>
      </xdr:nvSpPr>
      <xdr:spPr bwMode="auto">
        <a:xfrm>
          <a:off x="0" y="0"/>
          <a:ext cx="101822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533400</xdr:colOff>
      <xdr:row>45</xdr:row>
      <xdr:rowOff>88900</xdr:rowOff>
    </xdr:to>
    <xdr:sp macro="" textlink="">
      <xdr:nvSpPr>
        <xdr:cNvPr id="3" name="AutoShape 13">
          <a:extLst>
            <a:ext uri="{FF2B5EF4-FFF2-40B4-BE49-F238E27FC236}">
              <a16:creationId xmlns:a16="http://schemas.microsoft.com/office/drawing/2014/main" id="{2F102D13-789F-4DFD-885C-3F92205C71D0}"/>
            </a:ext>
          </a:extLst>
        </xdr:cNvPr>
        <xdr:cNvSpPr>
          <a:spLocks noChangeArrowheads="1"/>
        </xdr:cNvSpPr>
      </xdr:nvSpPr>
      <xdr:spPr bwMode="auto">
        <a:xfrm>
          <a:off x="0" y="0"/>
          <a:ext cx="9067800" cy="9623425"/>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533400</xdr:colOff>
      <xdr:row>45</xdr:row>
      <xdr:rowOff>88900</xdr:rowOff>
    </xdr:to>
    <xdr:sp macro="" textlink="">
      <xdr:nvSpPr>
        <xdr:cNvPr id="4" name="AutoShape 13">
          <a:extLst>
            <a:ext uri="{FF2B5EF4-FFF2-40B4-BE49-F238E27FC236}">
              <a16:creationId xmlns:a16="http://schemas.microsoft.com/office/drawing/2014/main" id="{6CCDAC78-B465-443E-9CFD-7D7922B44D66}"/>
            </a:ext>
          </a:extLst>
        </xdr:cNvPr>
        <xdr:cNvSpPr>
          <a:spLocks noChangeArrowheads="1"/>
        </xdr:cNvSpPr>
      </xdr:nvSpPr>
      <xdr:spPr bwMode="auto">
        <a:xfrm>
          <a:off x="0" y="0"/>
          <a:ext cx="9067800" cy="9623425"/>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44</xdr:row>
      <xdr:rowOff>180975</xdr:rowOff>
    </xdr:to>
    <xdr:sp macro="" textlink="">
      <xdr:nvSpPr>
        <xdr:cNvPr id="5" name="AutoShape 13">
          <a:extLst>
            <a:ext uri="{FF2B5EF4-FFF2-40B4-BE49-F238E27FC236}">
              <a16:creationId xmlns:a16="http://schemas.microsoft.com/office/drawing/2014/main" id="{3ED083C8-4A0E-4D89-9A34-4A07E3639022}"/>
            </a:ext>
          </a:extLst>
        </xdr:cNvPr>
        <xdr:cNvSpPr>
          <a:spLocks noChangeArrowheads="1"/>
        </xdr:cNvSpPr>
      </xdr:nvSpPr>
      <xdr:spPr bwMode="auto">
        <a:xfrm>
          <a:off x="0" y="0"/>
          <a:ext cx="102108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44</xdr:row>
      <xdr:rowOff>180975</xdr:rowOff>
    </xdr:to>
    <xdr:sp macro="" textlink="">
      <xdr:nvSpPr>
        <xdr:cNvPr id="6" name="AutoShape 13">
          <a:extLst>
            <a:ext uri="{FF2B5EF4-FFF2-40B4-BE49-F238E27FC236}">
              <a16:creationId xmlns:a16="http://schemas.microsoft.com/office/drawing/2014/main" id="{F9312688-6BD9-4159-943B-07CFF79D8C9D}"/>
            </a:ext>
          </a:extLst>
        </xdr:cNvPr>
        <xdr:cNvSpPr>
          <a:spLocks noChangeArrowheads="1"/>
        </xdr:cNvSpPr>
      </xdr:nvSpPr>
      <xdr:spPr bwMode="auto">
        <a:xfrm>
          <a:off x="0" y="0"/>
          <a:ext cx="102108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44</xdr:row>
      <xdr:rowOff>180975</xdr:rowOff>
    </xdr:to>
    <xdr:sp macro="" textlink="">
      <xdr:nvSpPr>
        <xdr:cNvPr id="7" name="AutoShape 13">
          <a:extLst>
            <a:ext uri="{FF2B5EF4-FFF2-40B4-BE49-F238E27FC236}">
              <a16:creationId xmlns:a16="http://schemas.microsoft.com/office/drawing/2014/main" id="{32910E62-9DEF-4518-B439-3FEF995FA897}"/>
            </a:ext>
          </a:extLst>
        </xdr:cNvPr>
        <xdr:cNvSpPr>
          <a:spLocks noChangeArrowheads="1"/>
        </xdr:cNvSpPr>
      </xdr:nvSpPr>
      <xdr:spPr bwMode="auto">
        <a:xfrm>
          <a:off x="0" y="0"/>
          <a:ext cx="102108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123825</xdr:colOff>
      <xdr:row>45</xdr:row>
      <xdr:rowOff>180975</xdr:rowOff>
    </xdr:to>
    <xdr:sp macro="" textlink="">
      <xdr:nvSpPr>
        <xdr:cNvPr id="8" name="AutoShape 13">
          <a:extLst>
            <a:ext uri="{FF2B5EF4-FFF2-40B4-BE49-F238E27FC236}">
              <a16:creationId xmlns:a16="http://schemas.microsoft.com/office/drawing/2014/main" id="{B6A15A82-3D12-4A6F-A878-0BDE631B171F}"/>
            </a:ext>
          </a:extLst>
        </xdr:cNvPr>
        <xdr:cNvSpPr>
          <a:spLocks noChangeArrowheads="1"/>
        </xdr:cNvSpPr>
      </xdr:nvSpPr>
      <xdr:spPr bwMode="auto">
        <a:xfrm>
          <a:off x="0" y="0"/>
          <a:ext cx="10182225"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533400</xdr:colOff>
      <xdr:row>46</xdr:row>
      <xdr:rowOff>88900</xdr:rowOff>
    </xdr:to>
    <xdr:sp macro="" textlink="">
      <xdr:nvSpPr>
        <xdr:cNvPr id="9" name="AutoShape 13">
          <a:extLst>
            <a:ext uri="{FF2B5EF4-FFF2-40B4-BE49-F238E27FC236}">
              <a16:creationId xmlns:a16="http://schemas.microsoft.com/office/drawing/2014/main" id="{6E220418-E1BD-4DFF-B2AB-83F93030FB30}"/>
            </a:ext>
          </a:extLst>
        </xdr:cNvPr>
        <xdr:cNvSpPr>
          <a:spLocks noChangeArrowheads="1"/>
        </xdr:cNvSpPr>
      </xdr:nvSpPr>
      <xdr:spPr bwMode="auto">
        <a:xfrm>
          <a:off x="0" y="0"/>
          <a:ext cx="9067800" cy="9871075"/>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533400</xdr:colOff>
      <xdr:row>46</xdr:row>
      <xdr:rowOff>88900</xdr:rowOff>
    </xdr:to>
    <xdr:sp macro="" textlink="">
      <xdr:nvSpPr>
        <xdr:cNvPr id="10" name="AutoShape 13">
          <a:extLst>
            <a:ext uri="{FF2B5EF4-FFF2-40B4-BE49-F238E27FC236}">
              <a16:creationId xmlns:a16="http://schemas.microsoft.com/office/drawing/2014/main" id="{CCA92338-1C29-4600-B75C-53422A9F5587}"/>
            </a:ext>
          </a:extLst>
        </xdr:cNvPr>
        <xdr:cNvSpPr>
          <a:spLocks noChangeArrowheads="1"/>
        </xdr:cNvSpPr>
      </xdr:nvSpPr>
      <xdr:spPr bwMode="auto">
        <a:xfrm>
          <a:off x="0" y="0"/>
          <a:ext cx="9067800" cy="9871075"/>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45</xdr:row>
      <xdr:rowOff>180975</xdr:rowOff>
    </xdr:to>
    <xdr:sp macro="" textlink="">
      <xdr:nvSpPr>
        <xdr:cNvPr id="11" name="AutoShape 13">
          <a:extLst>
            <a:ext uri="{FF2B5EF4-FFF2-40B4-BE49-F238E27FC236}">
              <a16:creationId xmlns:a16="http://schemas.microsoft.com/office/drawing/2014/main" id="{84B77F6D-C7BD-4E69-BC7C-F490F2F0EBE2}"/>
            </a:ext>
          </a:extLst>
        </xdr:cNvPr>
        <xdr:cNvSpPr>
          <a:spLocks noChangeArrowheads="1"/>
        </xdr:cNvSpPr>
      </xdr:nvSpPr>
      <xdr:spPr bwMode="auto">
        <a:xfrm>
          <a:off x="0" y="0"/>
          <a:ext cx="10210800" cy="9772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45</xdr:row>
      <xdr:rowOff>180975</xdr:rowOff>
    </xdr:to>
    <xdr:sp macro="" textlink="">
      <xdr:nvSpPr>
        <xdr:cNvPr id="12" name="AutoShape 13">
          <a:extLst>
            <a:ext uri="{FF2B5EF4-FFF2-40B4-BE49-F238E27FC236}">
              <a16:creationId xmlns:a16="http://schemas.microsoft.com/office/drawing/2014/main" id="{5C06809D-E8BC-4BA3-8E4B-402FAA2B5BEE}"/>
            </a:ext>
          </a:extLst>
        </xdr:cNvPr>
        <xdr:cNvSpPr>
          <a:spLocks noChangeArrowheads="1"/>
        </xdr:cNvSpPr>
      </xdr:nvSpPr>
      <xdr:spPr bwMode="auto">
        <a:xfrm>
          <a:off x="0" y="0"/>
          <a:ext cx="102108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45</xdr:row>
      <xdr:rowOff>180975</xdr:rowOff>
    </xdr:to>
    <xdr:sp macro="" textlink="">
      <xdr:nvSpPr>
        <xdr:cNvPr id="13" name="AutoShape 13">
          <a:extLst>
            <a:ext uri="{FF2B5EF4-FFF2-40B4-BE49-F238E27FC236}">
              <a16:creationId xmlns:a16="http://schemas.microsoft.com/office/drawing/2014/main" id="{B0B19039-DCB3-42DC-A01A-174C03358322}"/>
            </a:ext>
          </a:extLst>
        </xdr:cNvPr>
        <xdr:cNvSpPr>
          <a:spLocks noChangeArrowheads="1"/>
        </xdr:cNvSpPr>
      </xdr:nvSpPr>
      <xdr:spPr bwMode="auto">
        <a:xfrm>
          <a:off x="0" y="0"/>
          <a:ext cx="10210800" cy="9772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444500</xdr:colOff>
      <xdr:row>45</xdr:row>
      <xdr:rowOff>76200</xdr:rowOff>
    </xdr:to>
    <xdr:sp macro="" textlink="">
      <xdr:nvSpPr>
        <xdr:cNvPr id="14" name="AutoShape 13">
          <a:extLst>
            <a:ext uri="{FF2B5EF4-FFF2-40B4-BE49-F238E27FC236}">
              <a16:creationId xmlns:a16="http://schemas.microsoft.com/office/drawing/2014/main" id="{072EA513-646E-4696-A440-6B23164185B9}"/>
            </a:ext>
          </a:extLst>
        </xdr:cNvPr>
        <xdr:cNvSpPr>
          <a:spLocks noChangeArrowheads="1"/>
        </xdr:cNvSpPr>
      </xdr:nvSpPr>
      <xdr:spPr bwMode="auto">
        <a:xfrm>
          <a:off x="0" y="0"/>
          <a:ext cx="8978900" cy="9667875"/>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44</xdr:row>
      <xdr:rowOff>171450</xdr:rowOff>
    </xdr:to>
    <xdr:sp macro="" textlink="">
      <xdr:nvSpPr>
        <xdr:cNvPr id="15" name="AutoShape 13">
          <a:extLst>
            <a:ext uri="{FF2B5EF4-FFF2-40B4-BE49-F238E27FC236}">
              <a16:creationId xmlns:a16="http://schemas.microsoft.com/office/drawing/2014/main" id="{72D42455-8DA6-459E-BC60-E67F1FB97B97}"/>
            </a:ext>
          </a:extLst>
        </xdr:cNvPr>
        <xdr:cNvSpPr>
          <a:spLocks noChangeArrowheads="1"/>
        </xdr:cNvSpPr>
      </xdr:nvSpPr>
      <xdr:spPr bwMode="auto">
        <a:xfrm>
          <a:off x="0" y="0"/>
          <a:ext cx="10210800" cy="9572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44</xdr:row>
      <xdr:rowOff>171450</xdr:rowOff>
    </xdr:to>
    <xdr:sp macro="" textlink="">
      <xdr:nvSpPr>
        <xdr:cNvPr id="16" name="AutoShape 13">
          <a:extLst>
            <a:ext uri="{FF2B5EF4-FFF2-40B4-BE49-F238E27FC236}">
              <a16:creationId xmlns:a16="http://schemas.microsoft.com/office/drawing/2014/main" id="{860C3BA5-3455-43CF-A32E-FD72152BF0EE}"/>
            </a:ext>
          </a:extLst>
        </xdr:cNvPr>
        <xdr:cNvSpPr>
          <a:spLocks noChangeArrowheads="1"/>
        </xdr:cNvSpPr>
      </xdr:nvSpPr>
      <xdr:spPr bwMode="auto">
        <a:xfrm>
          <a:off x="0" y="0"/>
          <a:ext cx="10210800" cy="9572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123825</xdr:colOff>
      <xdr:row>45</xdr:row>
      <xdr:rowOff>180975</xdr:rowOff>
    </xdr:to>
    <xdr:sp macro="" textlink="">
      <xdr:nvSpPr>
        <xdr:cNvPr id="17" name="AutoShape 13">
          <a:extLst>
            <a:ext uri="{FF2B5EF4-FFF2-40B4-BE49-F238E27FC236}">
              <a16:creationId xmlns:a16="http://schemas.microsoft.com/office/drawing/2014/main" id="{A2086382-639E-4ECF-9BE8-EB87988BC5D7}"/>
            </a:ext>
          </a:extLst>
        </xdr:cNvPr>
        <xdr:cNvSpPr>
          <a:spLocks noChangeArrowheads="1"/>
        </xdr:cNvSpPr>
      </xdr:nvSpPr>
      <xdr:spPr bwMode="auto">
        <a:xfrm>
          <a:off x="0" y="0"/>
          <a:ext cx="10464165" cy="849439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533400</xdr:colOff>
      <xdr:row>46</xdr:row>
      <xdr:rowOff>88900</xdr:rowOff>
    </xdr:to>
    <xdr:sp macro="" textlink="">
      <xdr:nvSpPr>
        <xdr:cNvPr id="18" name="AutoShape 13">
          <a:extLst>
            <a:ext uri="{FF2B5EF4-FFF2-40B4-BE49-F238E27FC236}">
              <a16:creationId xmlns:a16="http://schemas.microsoft.com/office/drawing/2014/main" id="{46CA687B-776B-4E82-A455-60310AAF40EF}"/>
            </a:ext>
          </a:extLst>
        </xdr:cNvPr>
        <xdr:cNvSpPr>
          <a:spLocks noChangeArrowheads="1"/>
        </xdr:cNvSpPr>
      </xdr:nvSpPr>
      <xdr:spPr bwMode="auto">
        <a:xfrm>
          <a:off x="0" y="0"/>
          <a:ext cx="9304020" cy="85852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533400</xdr:colOff>
      <xdr:row>46</xdr:row>
      <xdr:rowOff>88900</xdr:rowOff>
    </xdr:to>
    <xdr:sp macro="" textlink="">
      <xdr:nvSpPr>
        <xdr:cNvPr id="19" name="AutoShape 13">
          <a:extLst>
            <a:ext uri="{FF2B5EF4-FFF2-40B4-BE49-F238E27FC236}">
              <a16:creationId xmlns:a16="http://schemas.microsoft.com/office/drawing/2014/main" id="{64C5BDD9-A3E2-4FF5-941D-7A7991FB9C21}"/>
            </a:ext>
          </a:extLst>
        </xdr:cNvPr>
        <xdr:cNvSpPr>
          <a:spLocks noChangeArrowheads="1"/>
        </xdr:cNvSpPr>
      </xdr:nvSpPr>
      <xdr:spPr bwMode="auto">
        <a:xfrm>
          <a:off x="0" y="0"/>
          <a:ext cx="9304020" cy="85852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45</xdr:row>
      <xdr:rowOff>180975</xdr:rowOff>
    </xdr:to>
    <xdr:sp macro="" textlink="">
      <xdr:nvSpPr>
        <xdr:cNvPr id="20" name="AutoShape 13">
          <a:extLst>
            <a:ext uri="{FF2B5EF4-FFF2-40B4-BE49-F238E27FC236}">
              <a16:creationId xmlns:a16="http://schemas.microsoft.com/office/drawing/2014/main" id="{BB9EF38E-E6ED-41D2-BEF4-E9EA0D7CEB66}"/>
            </a:ext>
          </a:extLst>
        </xdr:cNvPr>
        <xdr:cNvSpPr>
          <a:spLocks noChangeArrowheads="1"/>
        </xdr:cNvSpPr>
      </xdr:nvSpPr>
      <xdr:spPr bwMode="auto">
        <a:xfrm>
          <a:off x="0" y="0"/>
          <a:ext cx="10492740" cy="849439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45</xdr:row>
      <xdr:rowOff>180975</xdr:rowOff>
    </xdr:to>
    <xdr:sp macro="" textlink="">
      <xdr:nvSpPr>
        <xdr:cNvPr id="21" name="AutoShape 13">
          <a:extLst>
            <a:ext uri="{FF2B5EF4-FFF2-40B4-BE49-F238E27FC236}">
              <a16:creationId xmlns:a16="http://schemas.microsoft.com/office/drawing/2014/main" id="{192C103F-9A0B-470E-BC3D-FC79F5FC3840}"/>
            </a:ext>
          </a:extLst>
        </xdr:cNvPr>
        <xdr:cNvSpPr>
          <a:spLocks noChangeArrowheads="1"/>
        </xdr:cNvSpPr>
      </xdr:nvSpPr>
      <xdr:spPr bwMode="auto">
        <a:xfrm>
          <a:off x="0" y="0"/>
          <a:ext cx="10492740" cy="849439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45</xdr:row>
      <xdr:rowOff>180975</xdr:rowOff>
    </xdr:to>
    <xdr:sp macro="" textlink="">
      <xdr:nvSpPr>
        <xdr:cNvPr id="22" name="AutoShape 13">
          <a:extLst>
            <a:ext uri="{FF2B5EF4-FFF2-40B4-BE49-F238E27FC236}">
              <a16:creationId xmlns:a16="http://schemas.microsoft.com/office/drawing/2014/main" id="{E13FBDB7-BADC-4F28-ADB3-BEF532B6DE44}"/>
            </a:ext>
          </a:extLst>
        </xdr:cNvPr>
        <xdr:cNvSpPr>
          <a:spLocks noChangeArrowheads="1"/>
        </xdr:cNvSpPr>
      </xdr:nvSpPr>
      <xdr:spPr bwMode="auto">
        <a:xfrm>
          <a:off x="0" y="0"/>
          <a:ext cx="10492740" cy="849439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123825</xdr:colOff>
      <xdr:row>46</xdr:row>
      <xdr:rowOff>180975</xdr:rowOff>
    </xdr:to>
    <xdr:sp macro="" textlink="">
      <xdr:nvSpPr>
        <xdr:cNvPr id="23" name="AutoShape 13">
          <a:extLst>
            <a:ext uri="{FF2B5EF4-FFF2-40B4-BE49-F238E27FC236}">
              <a16:creationId xmlns:a16="http://schemas.microsoft.com/office/drawing/2014/main" id="{BDF3868D-9949-4A78-8357-608CC51E48F3}"/>
            </a:ext>
          </a:extLst>
        </xdr:cNvPr>
        <xdr:cNvSpPr>
          <a:spLocks noChangeArrowheads="1"/>
        </xdr:cNvSpPr>
      </xdr:nvSpPr>
      <xdr:spPr bwMode="auto">
        <a:xfrm>
          <a:off x="0" y="0"/>
          <a:ext cx="10464165" cy="8677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533400</xdr:colOff>
      <xdr:row>47</xdr:row>
      <xdr:rowOff>88900</xdr:rowOff>
    </xdr:to>
    <xdr:sp macro="" textlink="">
      <xdr:nvSpPr>
        <xdr:cNvPr id="24" name="AutoShape 13">
          <a:extLst>
            <a:ext uri="{FF2B5EF4-FFF2-40B4-BE49-F238E27FC236}">
              <a16:creationId xmlns:a16="http://schemas.microsoft.com/office/drawing/2014/main" id="{4B039EF6-D308-4BBE-A93B-CBFDFC1933BA}"/>
            </a:ext>
          </a:extLst>
        </xdr:cNvPr>
        <xdr:cNvSpPr>
          <a:spLocks noChangeArrowheads="1"/>
        </xdr:cNvSpPr>
      </xdr:nvSpPr>
      <xdr:spPr bwMode="auto">
        <a:xfrm>
          <a:off x="0" y="0"/>
          <a:ext cx="9304020" cy="876808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12</xdr:col>
      <xdr:colOff>533400</xdr:colOff>
      <xdr:row>47</xdr:row>
      <xdr:rowOff>88900</xdr:rowOff>
    </xdr:to>
    <xdr:sp macro="" textlink="">
      <xdr:nvSpPr>
        <xdr:cNvPr id="25" name="AutoShape 13">
          <a:extLst>
            <a:ext uri="{FF2B5EF4-FFF2-40B4-BE49-F238E27FC236}">
              <a16:creationId xmlns:a16="http://schemas.microsoft.com/office/drawing/2014/main" id="{5B451370-7F37-43F4-8BFA-2D6AC91E9112}"/>
            </a:ext>
          </a:extLst>
        </xdr:cNvPr>
        <xdr:cNvSpPr>
          <a:spLocks noChangeArrowheads="1"/>
        </xdr:cNvSpPr>
      </xdr:nvSpPr>
      <xdr:spPr bwMode="auto">
        <a:xfrm>
          <a:off x="0" y="0"/>
          <a:ext cx="9304020" cy="876808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46</xdr:row>
      <xdr:rowOff>180975</xdr:rowOff>
    </xdr:to>
    <xdr:sp macro="" textlink="">
      <xdr:nvSpPr>
        <xdr:cNvPr id="26" name="AutoShape 13">
          <a:extLst>
            <a:ext uri="{FF2B5EF4-FFF2-40B4-BE49-F238E27FC236}">
              <a16:creationId xmlns:a16="http://schemas.microsoft.com/office/drawing/2014/main" id="{33BF22D9-0B27-43D4-A533-26FF93E9A7F5}"/>
            </a:ext>
          </a:extLst>
        </xdr:cNvPr>
        <xdr:cNvSpPr>
          <a:spLocks noChangeArrowheads="1"/>
        </xdr:cNvSpPr>
      </xdr:nvSpPr>
      <xdr:spPr bwMode="auto">
        <a:xfrm>
          <a:off x="0" y="0"/>
          <a:ext cx="10492740" cy="8677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46</xdr:row>
      <xdr:rowOff>180975</xdr:rowOff>
    </xdr:to>
    <xdr:sp macro="" textlink="">
      <xdr:nvSpPr>
        <xdr:cNvPr id="27" name="AutoShape 13">
          <a:extLst>
            <a:ext uri="{FF2B5EF4-FFF2-40B4-BE49-F238E27FC236}">
              <a16:creationId xmlns:a16="http://schemas.microsoft.com/office/drawing/2014/main" id="{5AC43257-2847-4DED-A43F-EC148788FDFF}"/>
            </a:ext>
          </a:extLst>
        </xdr:cNvPr>
        <xdr:cNvSpPr>
          <a:spLocks noChangeArrowheads="1"/>
        </xdr:cNvSpPr>
      </xdr:nvSpPr>
      <xdr:spPr bwMode="auto">
        <a:xfrm>
          <a:off x="0" y="0"/>
          <a:ext cx="10492740" cy="8677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46</xdr:row>
      <xdr:rowOff>180975</xdr:rowOff>
    </xdr:to>
    <xdr:sp macro="" textlink="">
      <xdr:nvSpPr>
        <xdr:cNvPr id="28" name="AutoShape 13">
          <a:extLst>
            <a:ext uri="{FF2B5EF4-FFF2-40B4-BE49-F238E27FC236}">
              <a16:creationId xmlns:a16="http://schemas.microsoft.com/office/drawing/2014/main" id="{5E02F709-C148-4AC8-82F9-FFBFF077A8E3}"/>
            </a:ext>
          </a:extLst>
        </xdr:cNvPr>
        <xdr:cNvSpPr>
          <a:spLocks noChangeArrowheads="1"/>
        </xdr:cNvSpPr>
      </xdr:nvSpPr>
      <xdr:spPr bwMode="auto">
        <a:xfrm>
          <a:off x="0" y="0"/>
          <a:ext cx="10492740" cy="86772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444500</xdr:colOff>
      <xdr:row>46</xdr:row>
      <xdr:rowOff>76200</xdr:rowOff>
    </xdr:to>
    <xdr:sp macro="" textlink="">
      <xdr:nvSpPr>
        <xdr:cNvPr id="29" name="AutoShape 13">
          <a:extLst>
            <a:ext uri="{FF2B5EF4-FFF2-40B4-BE49-F238E27FC236}">
              <a16:creationId xmlns:a16="http://schemas.microsoft.com/office/drawing/2014/main" id="{5B61E9D7-5994-4B2A-B5C7-E941CA6F75F0}"/>
            </a:ext>
          </a:extLst>
        </xdr:cNvPr>
        <xdr:cNvSpPr>
          <a:spLocks noChangeArrowheads="1"/>
        </xdr:cNvSpPr>
      </xdr:nvSpPr>
      <xdr:spPr bwMode="auto">
        <a:xfrm>
          <a:off x="0" y="0"/>
          <a:ext cx="9215120" cy="8572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14</xdr:col>
      <xdr:colOff>152400</xdr:colOff>
      <xdr:row>45</xdr:row>
      <xdr:rowOff>171450</xdr:rowOff>
    </xdr:to>
    <xdr:sp macro="" textlink="">
      <xdr:nvSpPr>
        <xdr:cNvPr id="30" name="AutoShape 13">
          <a:extLst>
            <a:ext uri="{FF2B5EF4-FFF2-40B4-BE49-F238E27FC236}">
              <a16:creationId xmlns:a16="http://schemas.microsoft.com/office/drawing/2014/main" id="{F0ADE418-92F9-44B6-AE0D-A08F65415D20}"/>
            </a:ext>
          </a:extLst>
        </xdr:cNvPr>
        <xdr:cNvSpPr>
          <a:spLocks noChangeArrowheads="1"/>
        </xdr:cNvSpPr>
      </xdr:nvSpPr>
      <xdr:spPr bwMode="auto">
        <a:xfrm>
          <a:off x="0" y="0"/>
          <a:ext cx="10492740" cy="848487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152400</xdr:colOff>
      <xdr:row>45</xdr:row>
      <xdr:rowOff>171450</xdr:rowOff>
    </xdr:to>
    <xdr:sp macro="" textlink="">
      <xdr:nvSpPr>
        <xdr:cNvPr id="31" name="AutoShape 13">
          <a:extLst>
            <a:ext uri="{FF2B5EF4-FFF2-40B4-BE49-F238E27FC236}">
              <a16:creationId xmlns:a16="http://schemas.microsoft.com/office/drawing/2014/main" id="{76D059B9-9DE7-4E92-B086-2A24A09D0021}"/>
            </a:ext>
          </a:extLst>
        </xdr:cNvPr>
        <xdr:cNvSpPr>
          <a:spLocks noChangeArrowheads="1"/>
        </xdr:cNvSpPr>
      </xdr:nvSpPr>
      <xdr:spPr bwMode="auto">
        <a:xfrm>
          <a:off x="0" y="0"/>
          <a:ext cx="10492740" cy="8484870"/>
        </a:xfrm>
        <a:custGeom>
          <a:avLst/>
          <a:gdLst/>
          <a:ahLst/>
          <a:cxnLst/>
          <a:rect l="0" t="0" r="0" b="0"/>
          <a:pathLst/>
        </a:cu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Karen O'Brien" id="{AFECB56B-16BB-4514-8A88-13E8A8B139E3}" userId="S::kobrien@ala.org::06be3196-2fec-4ced-bb50-45180c9a8b0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5" dT="2020-02-19T17:02:59.90" personId="{AFECB56B-16BB-4514-8A88-13E8A8B139E3}" id="{873B1E28-64F9-428E-BA50-68031C155029}">
    <text>Income Parent Institution includes: federal grants/contracts, CE activities, endowment/trust funds, state/provincial grants/contracts.  We moved grants that were reported in previous years in cell V3 to U3 based on this instruction, and we do not currently have any industry funded grants or other sources of funding that fall outside the scope of Income Parent Institution. Therefore, in cell V3 we reported zero.</text>
  </threadedComment>
</ThreadedComments>
</file>

<file path=xl/threadedComments/threadedComment2.xml><?xml version="1.0" encoding="utf-8"?>
<ThreadedComments xmlns="http://schemas.microsoft.com/office/spreadsheetml/2018/threadedcomments" xmlns:x="http://schemas.openxmlformats.org/spreadsheetml/2006/main">
  <threadedComment ref="C5" dT="2020-02-20T15:25:56.35" personId="{AFECB56B-16BB-4514-8A88-13E8A8B139E3}" id="{0E659DE3-B71C-407A-BED4-BA9FF8C02173}">
    <text>02/18/20:  Increase from 18 PT FTE Faculty in 2018 to 29 in 2019 is due to the change in the undergraduate Computer Science and Information Science BS programs from upper-division to freshman-admitting students and more freshman-level courses being taught.</text>
  </threadedComment>
</ThreadedComments>
</file>

<file path=xl/threadedComments/threadedComment3.xml><?xml version="1.0" encoding="utf-8"?>
<ThreadedComments xmlns="http://schemas.microsoft.com/office/spreadsheetml/2018/threadedcomments" xmlns:x="http://schemas.openxmlformats.org/spreadsheetml/2006/main">
  <threadedComment ref="R5" dT="2020-02-26T21:11:53.59" personId="{AFECB56B-16BB-4514-8A88-13E8A8B139E3}" id="{0DF3DA48-4444-4E8C-A6BA-233A627C7E00}">
    <text>2019: Column O - This number is lower because the Health Sciences undergraduate program moved to the College of Public Health.</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17.bin"/><Relationship Id="rId4" Type="http://schemas.microsoft.com/office/2017/10/relationships/threadedComment" Target="../threadedComments/threadedComment2.xml"/></Relationships>
</file>

<file path=xl/worksheets/_rels/sheet41.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xml"/><Relationship Id="rId1" Type="http://schemas.openxmlformats.org/officeDocument/2006/relationships/printerSettings" Target="../printerSettings/printerSettings18.bin"/><Relationship Id="rId4" Type="http://schemas.openxmlformats.org/officeDocument/2006/relationships/comments" Target="../comments32.xml"/></Relationships>
</file>

<file path=xl/worksheets/_rels/sheet43.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4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4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20.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56.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24.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25.bin"/></Relationships>
</file>

<file path=xl/worksheets/_rels/sheet63.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64.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26.bin"/></Relationships>
</file>

<file path=xl/worksheets/_rels/sheet65.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tabSelected="1" workbookViewId="0">
      <selection activeCell="B13" sqref="B13"/>
    </sheetView>
  </sheetViews>
  <sheetFormatPr defaultRowHeight="15"/>
  <cols>
    <col min="2" max="2" width="13.5703125" customWidth="1"/>
    <col min="3" max="3" width="11.140625" customWidth="1"/>
  </cols>
  <sheetData>
    <row r="1" spans="1:3" s="376" customFormat="1" ht="60">
      <c r="A1" s="377" t="s">
        <v>165</v>
      </c>
      <c r="B1" s="378" t="s">
        <v>32</v>
      </c>
      <c r="C1" s="378" t="s">
        <v>44</v>
      </c>
    </row>
    <row r="2" spans="1:3">
      <c r="A2" s="513">
        <v>2021</v>
      </c>
      <c r="B2" s="608">
        <f>SUM('Alabama:Wisconsin Milwaukee'!K3)</f>
        <v>19997</v>
      </c>
      <c r="C2" s="608">
        <f>SUM('Alabama:Wisconsin Milwaukee'!Q3)</f>
        <v>6956</v>
      </c>
    </row>
    <row r="3" spans="1:3">
      <c r="A3" s="513">
        <v>2020</v>
      </c>
      <c r="B3" s="608">
        <f>SUM('Alabama:Wisconsin Milwaukee'!K4)</f>
        <v>19087</v>
      </c>
      <c r="C3" s="608">
        <f>SUM('Alabama:Wisconsin Milwaukee'!Q4)</f>
        <v>6335</v>
      </c>
    </row>
    <row r="4" spans="1:3" s="376" customFormat="1">
      <c r="A4" s="375">
        <v>2019</v>
      </c>
      <c r="B4" s="339">
        <f>SUM('Alabama:Wisconsin Milwaukee'!K5)</f>
        <v>18002</v>
      </c>
      <c r="C4" s="340">
        <f>SUM('Alabama:Wisconsin Milwaukee'!Q5)</f>
        <v>6233</v>
      </c>
    </row>
    <row r="5" spans="1:3">
      <c r="A5" s="375">
        <v>2018</v>
      </c>
      <c r="B5" s="339">
        <f>SUM('Alabama:Wisconsin Milwaukee'!K6)</f>
        <v>16720</v>
      </c>
      <c r="C5" s="340">
        <f>SUM('Alabama:Wisconsin Milwaukee'!Q6)</f>
        <v>5993</v>
      </c>
    </row>
    <row r="6" spans="1:3">
      <c r="A6" s="375">
        <v>2017</v>
      </c>
      <c r="B6" s="339">
        <f>SUM('Alabama:Wisconsin Milwaukee'!K7)</f>
        <v>16281</v>
      </c>
      <c r="C6" s="340">
        <f>SUM('Alabama:Wisconsin Milwaukee'!Q7)</f>
        <v>5907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L29"/>
  <sheetViews>
    <sheetView workbookViewId="0">
      <selection activeCell="J29" sqref="J29"/>
    </sheetView>
  </sheetViews>
  <sheetFormatPr defaultColWidth="8.85546875" defaultRowHeight="15"/>
  <cols>
    <col min="1" max="1" width="9.42578125" style="77" customWidth="1"/>
    <col min="2" max="2" width="7.85546875" style="77" customWidth="1"/>
    <col min="3" max="3" width="8.42578125" style="77" bestFit="1" customWidth="1"/>
    <col min="4" max="4" width="9.28515625" style="77" bestFit="1" customWidth="1"/>
    <col min="5" max="5" width="12.28515625" style="77" bestFit="1" customWidth="1"/>
    <col min="6" max="6" width="11.42578125" style="77" bestFit="1" customWidth="1"/>
    <col min="7" max="8" width="12.140625" style="77" customWidth="1"/>
    <col min="9" max="9" width="8.85546875" style="77" bestFit="1" customWidth="1"/>
    <col min="10" max="11" width="11.85546875" style="77" bestFit="1" customWidth="1"/>
    <col min="12" max="12" width="12.28515625" style="77" bestFit="1" customWidth="1"/>
    <col min="13" max="13" width="13.140625" style="77" bestFit="1" customWidth="1"/>
    <col min="14" max="14" width="10.85546875" style="77" customWidth="1"/>
    <col min="15" max="15" width="13.42578125" style="77" bestFit="1" customWidth="1"/>
    <col min="16" max="16" width="14.28515625" style="77" customWidth="1"/>
    <col min="17" max="17" width="12.42578125" style="77" bestFit="1" customWidth="1"/>
    <col min="18" max="18" width="9" style="77" bestFit="1" customWidth="1"/>
    <col min="19" max="19" width="11.85546875" style="77" bestFit="1" customWidth="1"/>
    <col min="20" max="20" width="12.85546875" style="77" bestFit="1" customWidth="1"/>
    <col min="21" max="21" width="10.28515625" style="77" bestFit="1" customWidth="1"/>
    <col min="22" max="22" width="10.85546875" style="77" bestFit="1" customWidth="1"/>
    <col min="23" max="23" width="12.85546875" style="77" bestFit="1" customWidth="1"/>
    <col min="24" max="65" width="8.85546875" style="214"/>
    <col min="66" max="16384" width="8.85546875" style="77"/>
  </cols>
  <sheetData>
    <row r="1" spans="1:220" s="1" customFormat="1" ht="18.75">
      <c r="A1" s="1" t="s">
        <v>57</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row>
    <row r="2" spans="1:220" s="3" customFormat="1" ht="60">
      <c r="A2" s="27" t="s">
        <v>42</v>
      </c>
      <c r="B2" s="27" t="s">
        <v>25</v>
      </c>
      <c r="C2" s="27" t="s">
        <v>28</v>
      </c>
      <c r="D2" s="27" t="s">
        <v>29</v>
      </c>
      <c r="E2" s="6" t="s">
        <v>108</v>
      </c>
      <c r="F2" s="27" t="s">
        <v>30</v>
      </c>
      <c r="G2" s="6" t="s">
        <v>109</v>
      </c>
      <c r="H2" s="6" t="s">
        <v>110</v>
      </c>
      <c r="I2" s="27" t="s">
        <v>26</v>
      </c>
      <c r="J2" s="27" t="s">
        <v>31</v>
      </c>
      <c r="K2" s="27" t="s">
        <v>32</v>
      </c>
      <c r="L2" s="27" t="s">
        <v>33</v>
      </c>
      <c r="M2" s="27" t="s">
        <v>34</v>
      </c>
      <c r="N2" s="27" t="s">
        <v>35</v>
      </c>
      <c r="O2" s="27" t="s">
        <v>43</v>
      </c>
      <c r="P2" s="27" t="s">
        <v>36</v>
      </c>
      <c r="Q2" s="27" t="s">
        <v>44</v>
      </c>
      <c r="R2" s="27" t="s">
        <v>37</v>
      </c>
      <c r="S2" s="27" t="s">
        <v>38</v>
      </c>
      <c r="T2" s="27" t="s">
        <v>39</v>
      </c>
      <c r="U2" s="27" t="s">
        <v>27</v>
      </c>
      <c r="V2" s="27" t="s">
        <v>40</v>
      </c>
      <c r="W2" s="27"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3" spans="1:220" s="17" customFormat="1">
      <c r="A3" s="11">
        <v>2021</v>
      </c>
      <c r="B3" s="409">
        <v>5</v>
      </c>
      <c r="C3" s="409">
        <v>0</v>
      </c>
      <c r="D3" s="410">
        <f t="shared" ref="D3" si="0">SUM(B3:C3)</f>
        <v>5</v>
      </c>
      <c r="E3" s="411">
        <f t="shared" ref="E3" si="1">ROUND((O3/B3), 0)</f>
        <v>9</v>
      </c>
      <c r="F3" s="411">
        <f t="shared" ref="F3" si="2">ROUND((O3/D3), 0)</f>
        <v>9</v>
      </c>
      <c r="G3" s="409">
        <v>4</v>
      </c>
      <c r="H3" s="409">
        <v>0</v>
      </c>
      <c r="I3" s="409">
        <v>19</v>
      </c>
      <c r="J3" s="409">
        <v>29</v>
      </c>
      <c r="K3" s="410">
        <f>SUM(I3:J3)</f>
        <v>48</v>
      </c>
      <c r="L3" s="409">
        <v>17</v>
      </c>
      <c r="M3" s="411">
        <f t="shared" ref="M3" si="3">(I3+L3)</f>
        <v>36</v>
      </c>
      <c r="N3" s="409">
        <v>23</v>
      </c>
      <c r="O3" s="409">
        <v>46</v>
      </c>
      <c r="P3" s="413">
        <f>M3/O3</f>
        <v>0.78260869565217395</v>
      </c>
      <c r="Q3" s="409">
        <v>7</v>
      </c>
      <c r="R3" s="409">
        <v>3</v>
      </c>
      <c r="S3" s="414">
        <v>416816</v>
      </c>
      <c r="T3" s="415">
        <f>SUM(U3:V3)</f>
        <v>416816</v>
      </c>
      <c r="U3" s="414">
        <v>397477</v>
      </c>
      <c r="V3" s="414">
        <v>19339</v>
      </c>
      <c r="W3" s="335">
        <f t="shared" ref="W3" si="4">V3/T3</f>
        <v>4.6396971325476946E-2</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5</v>
      </c>
      <c r="C4" s="409">
        <v>0.5</v>
      </c>
      <c r="D4" s="410">
        <v>5.5</v>
      </c>
      <c r="E4" s="411">
        <v>5</v>
      </c>
      <c r="F4" s="411">
        <v>5</v>
      </c>
      <c r="G4" s="409">
        <v>4</v>
      </c>
      <c r="H4" s="409">
        <v>0.5</v>
      </c>
      <c r="I4" s="409">
        <v>7</v>
      </c>
      <c r="J4" s="409">
        <v>23</v>
      </c>
      <c r="K4" s="410">
        <v>30</v>
      </c>
      <c r="L4" s="409">
        <v>13.56</v>
      </c>
      <c r="M4" s="411">
        <v>21</v>
      </c>
      <c r="N4" s="409">
        <v>16</v>
      </c>
      <c r="O4" s="409">
        <v>26.67</v>
      </c>
      <c r="P4" s="413">
        <v>0.78939999999999999</v>
      </c>
      <c r="Q4" s="409">
        <v>3</v>
      </c>
      <c r="R4" s="409">
        <v>5</v>
      </c>
      <c r="S4" s="414">
        <v>444792</v>
      </c>
      <c r="T4" s="415">
        <v>444792</v>
      </c>
      <c r="U4" s="414">
        <v>444792</v>
      </c>
      <c r="V4" s="414">
        <v>0</v>
      </c>
      <c r="W4" s="335">
        <v>0</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4</v>
      </c>
      <c r="C5" s="409">
        <v>0.16</v>
      </c>
      <c r="D5" s="410">
        <f>SUM(B5:C5)</f>
        <v>4.16</v>
      </c>
      <c r="E5" s="411">
        <f>ROUND((O5/B5), 0)</f>
        <v>6</v>
      </c>
      <c r="F5" s="411">
        <f>ROUND((O5/D5), 0)</f>
        <v>6</v>
      </c>
      <c r="G5" s="409">
        <v>4</v>
      </c>
      <c r="H5" s="409">
        <v>0.16</v>
      </c>
      <c r="I5" s="409">
        <v>7</v>
      </c>
      <c r="J5" s="409">
        <v>31</v>
      </c>
      <c r="K5" s="410">
        <f>SUM(I5:J5)</f>
        <v>38</v>
      </c>
      <c r="L5" s="409">
        <f>J5*0.36</f>
        <v>11.16</v>
      </c>
      <c r="M5" s="411">
        <f>(I5+L5)</f>
        <v>18.16</v>
      </c>
      <c r="N5" s="409">
        <v>24</v>
      </c>
      <c r="O5" s="409">
        <v>23.18</v>
      </c>
      <c r="P5" s="413">
        <f>M5/O5</f>
        <v>0.78343399482312337</v>
      </c>
      <c r="Q5" s="409">
        <v>3</v>
      </c>
      <c r="R5" s="409">
        <v>0</v>
      </c>
      <c r="S5" s="414">
        <v>455517</v>
      </c>
      <c r="T5" s="415">
        <f>SUM(U5:V5)</f>
        <v>521516</v>
      </c>
      <c r="U5" s="414">
        <v>488400</v>
      </c>
      <c r="V5" s="414">
        <v>33116</v>
      </c>
      <c r="W5" s="335">
        <f>V5/T5</f>
        <v>6.349948994853466E-2</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5</v>
      </c>
      <c r="C6" s="20">
        <v>0.7</v>
      </c>
      <c r="D6" s="29">
        <f>SUM(B6:C6)</f>
        <v>5.7</v>
      </c>
      <c r="E6" s="172">
        <f>ROUND((O6/B6), 0)</f>
        <v>3</v>
      </c>
      <c r="F6" s="172">
        <f>ROUND((O6/D6), 0)</f>
        <v>3</v>
      </c>
      <c r="G6" s="20">
        <v>4</v>
      </c>
      <c r="H6" s="20">
        <v>0.16</v>
      </c>
      <c r="I6" s="20">
        <v>0</v>
      </c>
      <c r="J6" s="20">
        <v>12</v>
      </c>
      <c r="K6" s="29">
        <f t="shared" ref="K6" si="5">SUM(I6:J6)</f>
        <v>12</v>
      </c>
      <c r="L6" s="20">
        <v>5.91</v>
      </c>
      <c r="M6" s="172">
        <f>(I6+L6)</f>
        <v>5.91</v>
      </c>
      <c r="N6" s="20">
        <v>8</v>
      </c>
      <c r="O6" s="20">
        <v>16.920000000000002</v>
      </c>
      <c r="P6" s="183">
        <f>M6/O6</f>
        <v>0.34929078014184395</v>
      </c>
      <c r="Q6" s="20">
        <v>1</v>
      </c>
      <c r="R6" s="20">
        <v>10</v>
      </c>
      <c r="S6" s="24">
        <v>614998</v>
      </c>
      <c r="T6" s="30">
        <f>SUM(U6:V6)</f>
        <v>614998</v>
      </c>
      <c r="U6" s="24">
        <v>480648</v>
      </c>
      <c r="V6" s="24">
        <v>134350</v>
      </c>
      <c r="W6" s="185">
        <f>V6/T6</f>
        <v>0.21845599497884546</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3" customFormat="1">
      <c r="A7" s="33">
        <v>2017</v>
      </c>
      <c r="B7" s="20">
        <v>4</v>
      </c>
      <c r="C7" s="20">
        <v>0</v>
      </c>
      <c r="D7" s="29">
        <f>SUM(B7:C7)</f>
        <v>4</v>
      </c>
      <c r="E7" s="172">
        <f>ROUND((O7/B7), 0)</f>
        <v>4</v>
      </c>
      <c r="F7" s="172">
        <f>ROUND((O7/D7), 0)</f>
        <v>4</v>
      </c>
      <c r="G7" s="342">
        <v>3</v>
      </c>
      <c r="H7" s="342">
        <v>0</v>
      </c>
      <c r="I7" s="20">
        <v>1</v>
      </c>
      <c r="J7" s="20">
        <v>11</v>
      </c>
      <c r="K7" s="29">
        <f>SUM(I7:J7)</f>
        <v>12</v>
      </c>
      <c r="L7" s="20">
        <v>3.58</v>
      </c>
      <c r="M7" s="172">
        <f>(I7+L7)</f>
        <v>4.58</v>
      </c>
      <c r="N7" s="20">
        <v>7</v>
      </c>
      <c r="O7" s="20">
        <v>16.420000000000002</v>
      </c>
      <c r="P7" s="183">
        <f t="shared" ref="P7:P16" si="6">M7/O7</f>
        <v>0.27892813641900122</v>
      </c>
      <c r="Q7" s="20">
        <v>4</v>
      </c>
      <c r="R7" s="20">
        <v>5</v>
      </c>
      <c r="S7" s="21">
        <v>587287</v>
      </c>
      <c r="T7" s="30">
        <f>SUM(U7:V7)</f>
        <v>587287</v>
      </c>
      <c r="U7" s="21">
        <v>467972.73</v>
      </c>
      <c r="V7" s="21">
        <v>119314.27</v>
      </c>
      <c r="W7" s="185">
        <f t="shared" ref="W7:W16" si="7">V7/T7</f>
        <v>0.2031617760992496</v>
      </c>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row>
    <row r="8" spans="1:220" s="86" customFormat="1">
      <c r="A8" s="95">
        <v>2016</v>
      </c>
      <c r="B8" s="63">
        <v>4</v>
      </c>
      <c r="C8" s="63">
        <v>0</v>
      </c>
      <c r="D8" s="108">
        <f>SUM(B8:C8)</f>
        <v>4</v>
      </c>
      <c r="E8" s="109">
        <f>ROUND((O8/B8), 0)</f>
        <v>4</v>
      </c>
      <c r="F8" s="109">
        <f>ROUND((O8/D8), 0)</f>
        <v>4</v>
      </c>
      <c r="G8" s="83">
        <v>2</v>
      </c>
      <c r="H8" s="83">
        <v>0</v>
      </c>
      <c r="I8" s="63">
        <v>0</v>
      </c>
      <c r="J8" s="63">
        <v>10</v>
      </c>
      <c r="K8" s="108">
        <f>SUM(I8:J8)</f>
        <v>10</v>
      </c>
      <c r="L8" s="63">
        <v>6.16</v>
      </c>
      <c r="M8" s="109">
        <f>(I8+L8)</f>
        <v>6.16</v>
      </c>
      <c r="N8" s="63">
        <v>10</v>
      </c>
      <c r="O8" s="63">
        <v>16.649999999999999</v>
      </c>
      <c r="P8" s="183">
        <f t="shared" si="6"/>
        <v>0.36996996996997</v>
      </c>
      <c r="Q8" s="63">
        <v>4</v>
      </c>
      <c r="R8" s="63">
        <v>10</v>
      </c>
      <c r="S8" s="69">
        <v>621147</v>
      </c>
      <c r="T8" s="110">
        <f>SUM(U8:V8)</f>
        <v>621147</v>
      </c>
      <c r="U8" s="69">
        <v>516700</v>
      </c>
      <c r="V8" s="69">
        <v>104447</v>
      </c>
      <c r="W8" s="185">
        <f t="shared" si="7"/>
        <v>0.16815182235445073</v>
      </c>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row>
    <row r="9" spans="1:220" s="71" customFormat="1">
      <c r="A9" s="90">
        <v>2015</v>
      </c>
      <c r="B9" s="91">
        <v>7</v>
      </c>
      <c r="C9" s="91">
        <v>0.13</v>
      </c>
      <c r="D9" s="81">
        <v>7.13</v>
      </c>
      <c r="E9" s="81">
        <v>11.8</v>
      </c>
      <c r="F9" s="81">
        <v>11.5</v>
      </c>
      <c r="G9" s="111"/>
      <c r="H9" s="111"/>
      <c r="I9" s="91">
        <v>0</v>
      </c>
      <c r="J9" s="91">
        <v>0</v>
      </c>
      <c r="K9" s="81">
        <v>0</v>
      </c>
      <c r="L9" s="91">
        <v>0</v>
      </c>
      <c r="M9" s="81">
        <v>0</v>
      </c>
      <c r="N9" s="91">
        <v>0</v>
      </c>
      <c r="O9" s="91">
        <v>82.35</v>
      </c>
      <c r="P9" s="183">
        <f t="shared" si="6"/>
        <v>0</v>
      </c>
      <c r="Q9" s="91">
        <v>0</v>
      </c>
      <c r="R9" s="91">
        <v>5</v>
      </c>
      <c r="S9" s="102">
        <v>746583</v>
      </c>
      <c r="T9" s="103">
        <v>746582</v>
      </c>
      <c r="U9" s="102">
        <v>720461</v>
      </c>
      <c r="V9" s="102">
        <v>26121</v>
      </c>
      <c r="W9" s="185">
        <f t="shared" si="7"/>
        <v>3.4987449469716658E-2</v>
      </c>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row>
    <row r="10" spans="1:220" s="71" customFormat="1">
      <c r="A10" s="90">
        <v>2014</v>
      </c>
      <c r="B10" s="361">
        <v>8</v>
      </c>
      <c r="C10" s="361">
        <v>0</v>
      </c>
      <c r="D10" s="108">
        <f t="shared" ref="D10:D17" si="8">SUM(B10:C10)</f>
        <v>8</v>
      </c>
      <c r="E10" s="109">
        <f t="shared" ref="E10:E17" si="9">ROUND((O10/B10), 0)</f>
        <v>2</v>
      </c>
      <c r="F10" s="109">
        <f t="shared" ref="F10:F17" si="10">ROUND((O10/D10), 0)</f>
        <v>2</v>
      </c>
      <c r="G10" s="111"/>
      <c r="H10" s="111"/>
      <c r="I10" s="361">
        <v>0</v>
      </c>
      <c r="J10" s="361">
        <v>8</v>
      </c>
      <c r="K10" s="108">
        <f t="shared" ref="K10:K16" si="11">SUM(I10:J10)</f>
        <v>8</v>
      </c>
      <c r="L10" s="361">
        <v>5.42</v>
      </c>
      <c r="M10" s="109">
        <f t="shared" ref="M10:M16" si="12">(I10+L10)</f>
        <v>5.42</v>
      </c>
      <c r="N10" s="361">
        <v>6</v>
      </c>
      <c r="O10" s="361">
        <v>19</v>
      </c>
      <c r="P10" s="183">
        <f t="shared" si="6"/>
        <v>0.28526315789473683</v>
      </c>
      <c r="Q10" s="361">
        <v>1</v>
      </c>
      <c r="R10" s="361">
        <v>3</v>
      </c>
      <c r="S10" s="112">
        <v>696776</v>
      </c>
      <c r="T10" s="110">
        <f t="shared" ref="T10:T16" si="13">SUM(U10:V10)</f>
        <v>696776</v>
      </c>
      <c r="U10" s="112">
        <v>690538</v>
      </c>
      <c r="V10" s="112">
        <v>6238</v>
      </c>
      <c r="W10" s="185">
        <f t="shared" si="7"/>
        <v>8.9526619745800666E-3</v>
      </c>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row>
    <row r="11" spans="1:220" s="71" customFormat="1">
      <c r="A11" s="90">
        <v>2013</v>
      </c>
      <c r="B11" s="361">
        <v>8</v>
      </c>
      <c r="C11" s="361">
        <v>0</v>
      </c>
      <c r="D11" s="108">
        <f t="shared" si="8"/>
        <v>8</v>
      </c>
      <c r="E11" s="109">
        <f t="shared" si="9"/>
        <v>2</v>
      </c>
      <c r="F11" s="109">
        <f t="shared" si="10"/>
        <v>2</v>
      </c>
      <c r="G11" s="113"/>
      <c r="H11" s="113"/>
      <c r="I11" s="361">
        <v>0</v>
      </c>
      <c r="J11" s="361">
        <v>10</v>
      </c>
      <c r="K11" s="108">
        <f t="shared" si="11"/>
        <v>10</v>
      </c>
      <c r="L11" s="361">
        <v>6.33</v>
      </c>
      <c r="M11" s="109">
        <f t="shared" si="12"/>
        <v>6.33</v>
      </c>
      <c r="N11" s="361">
        <v>6</v>
      </c>
      <c r="O11" s="361">
        <v>17.579999999999998</v>
      </c>
      <c r="P11" s="183">
        <f t="shared" si="6"/>
        <v>0.36006825938566556</v>
      </c>
      <c r="Q11" s="361">
        <v>9</v>
      </c>
      <c r="R11" s="361">
        <v>0</v>
      </c>
      <c r="S11" s="112">
        <v>673957</v>
      </c>
      <c r="T11" s="110">
        <f t="shared" si="13"/>
        <v>727051</v>
      </c>
      <c r="U11" s="112">
        <v>727051</v>
      </c>
      <c r="V11" s="112">
        <v>0</v>
      </c>
      <c r="W11" s="185">
        <f t="shared" si="7"/>
        <v>0</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row>
    <row r="12" spans="1:220" s="71" customFormat="1">
      <c r="A12" s="90" t="s">
        <v>86</v>
      </c>
      <c r="B12" s="361">
        <v>8</v>
      </c>
      <c r="C12" s="361">
        <v>0</v>
      </c>
      <c r="D12" s="108">
        <f t="shared" si="8"/>
        <v>8</v>
      </c>
      <c r="E12" s="109">
        <f t="shared" si="9"/>
        <v>1</v>
      </c>
      <c r="F12" s="109">
        <f t="shared" si="10"/>
        <v>1</v>
      </c>
      <c r="G12" s="113"/>
      <c r="H12" s="113"/>
      <c r="I12" s="361">
        <v>0</v>
      </c>
      <c r="J12" s="361">
        <v>11</v>
      </c>
      <c r="K12" s="108">
        <f t="shared" si="11"/>
        <v>11</v>
      </c>
      <c r="L12" s="361">
        <v>5.25</v>
      </c>
      <c r="M12" s="109">
        <f t="shared" si="12"/>
        <v>5.25</v>
      </c>
      <c r="N12" s="361">
        <v>7</v>
      </c>
      <c r="O12" s="361">
        <v>11.5</v>
      </c>
      <c r="P12" s="183">
        <f t="shared" si="6"/>
        <v>0.45652173913043476</v>
      </c>
      <c r="Q12" s="361">
        <v>15</v>
      </c>
      <c r="R12" s="361">
        <v>7</v>
      </c>
      <c r="S12" s="112">
        <v>552922</v>
      </c>
      <c r="T12" s="110">
        <f t="shared" si="13"/>
        <v>590869</v>
      </c>
      <c r="U12" s="112">
        <v>516258</v>
      </c>
      <c r="V12" s="112">
        <v>74611</v>
      </c>
      <c r="W12" s="185">
        <f t="shared" si="7"/>
        <v>0.12627333639097668</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row>
    <row r="13" spans="1:220" s="71" customFormat="1">
      <c r="A13" s="90" t="s">
        <v>81</v>
      </c>
      <c r="B13" s="361">
        <v>4</v>
      </c>
      <c r="C13" s="361">
        <v>0.44</v>
      </c>
      <c r="D13" s="108">
        <f t="shared" si="8"/>
        <v>4.4400000000000004</v>
      </c>
      <c r="E13" s="109">
        <f t="shared" si="9"/>
        <v>7</v>
      </c>
      <c r="F13" s="109">
        <f t="shared" si="10"/>
        <v>6</v>
      </c>
      <c r="G13" s="113"/>
      <c r="H13" s="113"/>
      <c r="I13" s="361">
        <v>18</v>
      </c>
      <c r="J13" s="361">
        <v>19</v>
      </c>
      <c r="K13" s="108">
        <f t="shared" si="11"/>
        <v>37</v>
      </c>
      <c r="L13" s="361">
        <v>9.1999999999999993</v>
      </c>
      <c r="M13" s="109">
        <f t="shared" si="12"/>
        <v>27.2</v>
      </c>
      <c r="N13" s="361">
        <v>24</v>
      </c>
      <c r="O13" s="361">
        <v>27.2</v>
      </c>
      <c r="P13" s="183">
        <f t="shared" si="6"/>
        <v>1</v>
      </c>
      <c r="Q13" s="361">
        <v>26</v>
      </c>
      <c r="R13" s="361">
        <v>0</v>
      </c>
      <c r="S13" s="112">
        <v>34554</v>
      </c>
      <c r="T13" s="110">
        <f t="shared" si="13"/>
        <v>69000</v>
      </c>
      <c r="U13" s="112">
        <v>25000</v>
      </c>
      <c r="V13" s="112">
        <v>44000</v>
      </c>
      <c r="W13" s="185">
        <f t="shared" si="7"/>
        <v>0.6376811594202898</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row>
    <row r="14" spans="1:220" s="71" customFormat="1">
      <c r="A14" s="90" t="s">
        <v>82</v>
      </c>
      <c r="B14" s="361">
        <v>6</v>
      </c>
      <c r="C14" s="361">
        <v>0.66</v>
      </c>
      <c r="D14" s="108">
        <f t="shared" si="8"/>
        <v>6.66</v>
      </c>
      <c r="E14" s="109">
        <f t="shared" si="9"/>
        <v>6</v>
      </c>
      <c r="F14" s="109">
        <f t="shared" si="10"/>
        <v>5</v>
      </c>
      <c r="G14" s="113"/>
      <c r="H14" s="113"/>
      <c r="I14" s="361">
        <v>19</v>
      </c>
      <c r="J14" s="361">
        <v>42</v>
      </c>
      <c r="K14" s="108">
        <f t="shared" si="11"/>
        <v>61</v>
      </c>
      <c r="L14" s="361">
        <v>16.329999999999998</v>
      </c>
      <c r="M14" s="109">
        <f t="shared" si="12"/>
        <v>35.33</v>
      </c>
      <c r="N14" s="361">
        <v>42</v>
      </c>
      <c r="O14" s="361">
        <v>35.33</v>
      </c>
      <c r="P14" s="183">
        <f t="shared" si="6"/>
        <v>1</v>
      </c>
      <c r="Q14" s="361">
        <v>16</v>
      </c>
      <c r="R14" s="361">
        <v>0</v>
      </c>
      <c r="S14" s="112">
        <v>210701</v>
      </c>
      <c r="T14" s="110">
        <f t="shared" si="13"/>
        <v>422063</v>
      </c>
      <c r="U14" s="112">
        <v>422063</v>
      </c>
      <c r="V14" s="112">
        <v>0</v>
      </c>
      <c r="W14" s="185">
        <f t="shared" si="7"/>
        <v>0</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row>
    <row r="15" spans="1:220" s="71" customFormat="1">
      <c r="A15" s="90" t="s">
        <v>83</v>
      </c>
      <c r="B15" s="361">
        <v>2</v>
      </c>
      <c r="C15" s="361">
        <v>2</v>
      </c>
      <c r="D15" s="108">
        <f t="shared" si="8"/>
        <v>4</v>
      </c>
      <c r="E15" s="109">
        <f t="shared" si="9"/>
        <v>12</v>
      </c>
      <c r="F15" s="109">
        <f t="shared" si="10"/>
        <v>6</v>
      </c>
      <c r="G15" s="113"/>
      <c r="H15" s="113"/>
      <c r="I15" s="361">
        <v>3</v>
      </c>
      <c r="J15" s="361">
        <v>50</v>
      </c>
      <c r="K15" s="108">
        <f t="shared" si="11"/>
        <v>53</v>
      </c>
      <c r="L15" s="361">
        <v>21.1</v>
      </c>
      <c r="M15" s="109">
        <f t="shared" si="12"/>
        <v>24.1</v>
      </c>
      <c r="N15" s="361">
        <v>20</v>
      </c>
      <c r="O15" s="361">
        <v>24.1</v>
      </c>
      <c r="P15" s="183">
        <f t="shared" si="6"/>
        <v>1</v>
      </c>
      <c r="Q15" s="361">
        <v>20</v>
      </c>
      <c r="R15" s="361">
        <v>0</v>
      </c>
      <c r="S15" s="112">
        <v>266672</v>
      </c>
      <c r="T15" s="110">
        <f t="shared" si="13"/>
        <v>399968</v>
      </c>
      <c r="U15" s="112">
        <v>399968</v>
      </c>
      <c r="V15" s="112">
        <v>0</v>
      </c>
      <c r="W15" s="185">
        <f t="shared" si="7"/>
        <v>0</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row>
    <row r="16" spans="1:220" s="121" customFormat="1">
      <c r="A16" s="95" t="s">
        <v>84</v>
      </c>
      <c r="B16" s="356">
        <v>2</v>
      </c>
      <c r="C16" s="356">
        <v>2</v>
      </c>
      <c r="D16" s="149">
        <f t="shared" si="8"/>
        <v>4</v>
      </c>
      <c r="E16" s="118">
        <f t="shared" si="9"/>
        <v>17</v>
      </c>
      <c r="F16" s="118">
        <f t="shared" si="10"/>
        <v>8</v>
      </c>
      <c r="G16" s="113"/>
      <c r="H16" s="113"/>
      <c r="I16" s="356">
        <v>5</v>
      </c>
      <c r="J16" s="356">
        <v>37</v>
      </c>
      <c r="K16" s="149">
        <f t="shared" si="11"/>
        <v>42</v>
      </c>
      <c r="L16" s="356">
        <v>25</v>
      </c>
      <c r="M16" s="118">
        <f t="shared" si="12"/>
        <v>30</v>
      </c>
      <c r="N16" s="356" t="s">
        <v>79</v>
      </c>
      <c r="O16" s="356">
        <v>33</v>
      </c>
      <c r="P16" s="183">
        <f t="shared" si="6"/>
        <v>0.90909090909090906</v>
      </c>
      <c r="Q16" s="356">
        <v>16</v>
      </c>
      <c r="R16" s="356">
        <v>0</v>
      </c>
      <c r="S16" s="150">
        <v>169228.71</v>
      </c>
      <c r="T16" s="120">
        <f t="shared" si="13"/>
        <v>169229</v>
      </c>
      <c r="U16" s="150">
        <v>169229</v>
      </c>
      <c r="V16" s="150">
        <v>0</v>
      </c>
      <c r="W16" s="185">
        <f t="shared" si="7"/>
        <v>0</v>
      </c>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row>
    <row r="17" spans="1:65" s="121" customFormat="1">
      <c r="A17" s="95">
        <v>2007</v>
      </c>
      <c r="B17" s="215">
        <v>3</v>
      </c>
      <c r="C17" s="215">
        <v>0</v>
      </c>
      <c r="D17" s="149">
        <f t="shared" si="8"/>
        <v>3</v>
      </c>
      <c r="E17" s="118">
        <f t="shared" si="9"/>
        <v>0</v>
      </c>
      <c r="F17" s="118">
        <f t="shared" si="10"/>
        <v>0</v>
      </c>
      <c r="G17" s="113"/>
      <c r="H17" s="113"/>
      <c r="I17" s="215">
        <v>0</v>
      </c>
      <c r="J17" s="215">
        <v>0</v>
      </c>
      <c r="K17" s="117">
        <v>0</v>
      </c>
      <c r="L17" s="215">
        <v>0</v>
      </c>
      <c r="M17" s="216">
        <v>0</v>
      </c>
      <c r="N17" s="215">
        <v>0</v>
      </c>
      <c r="O17" s="215">
        <v>0</v>
      </c>
      <c r="P17" s="184" t="s">
        <v>79</v>
      </c>
      <c r="Q17" s="215">
        <v>0</v>
      </c>
      <c r="R17" s="356">
        <v>0</v>
      </c>
      <c r="S17" s="100">
        <v>0</v>
      </c>
      <c r="T17" s="120">
        <v>0</v>
      </c>
      <c r="U17" s="100">
        <v>0</v>
      </c>
      <c r="V17" s="100">
        <v>0</v>
      </c>
      <c r="W17" s="146" t="s">
        <v>79</v>
      </c>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row>
    <row r="18" spans="1:65" s="22" customFormat="1">
      <c r="A18" s="670" t="s">
        <v>104</v>
      </c>
      <c r="B18" s="670"/>
      <c r="C18" s="670"/>
      <c r="D18" s="670"/>
      <c r="E18" s="670"/>
      <c r="F18" s="670"/>
      <c r="G18" s="670"/>
      <c r="H18" s="670"/>
      <c r="I18" s="670"/>
      <c r="J18" s="670"/>
      <c r="K18" s="667"/>
      <c r="L18" s="667"/>
      <c r="M18" s="667"/>
      <c r="N18" s="667"/>
      <c r="O18" s="667"/>
      <c r="P18" s="667"/>
      <c r="Q18" s="667"/>
      <c r="R18" s="667"/>
      <c r="S18" s="667"/>
      <c r="T18" s="667"/>
      <c r="U18" s="667"/>
      <c r="V18" s="667"/>
      <c r="W18" s="667"/>
    </row>
    <row r="19" spans="1:65" s="13" customFormat="1">
      <c r="A19" s="671" t="s">
        <v>125</v>
      </c>
      <c r="B19" s="667"/>
      <c r="C19" s="667"/>
      <c r="D19" s="667"/>
      <c r="E19" s="667"/>
      <c r="F19" s="667"/>
      <c r="G19" s="667"/>
      <c r="H19" s="667"/>
      <c r="I19" s="667"/>
      <c r="J19" s="667"/>
      <c r="K19" s="667"/>
      <c r="L19" s="667"/>
      <c r="M19" s="667"/>
      <c r="N19" s="667"/>
      <c r="O19" s="667"/>
      <c r="P19" s="667"/>
      <c r="Q19" s="667"/>
      <c r="R19" s="667"/>
      <c r="S19" s="667"/>
      <c r="T19" s="667"/>
      <c r="U19" s="667"/>
      <c r="V19" s="667"/>
      <c r="W19" s="667"/>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row>
    <row r="20" spans="1:65" s="13" customFormat="1">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row>
    <row r="21" spans="1:65" s="76" customFormat="1">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row>
    <row r="22" spans="1:65" s="76" customFormat="1">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row>
    <row r="23" spans="1:65" s="76" customFormat="1">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row>
    <row r="24" spans="1:65" s="76" customFormat="1">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row>
    <row r="25" spans="1:65" s="76" customFormat="1">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row>
    <row r="26" spans="1:65" s="76" customFormat="1">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row>
    <row r="27" spans="1:65" s="76" customFormat="1">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row>
    <row r="28" spans="1:65" s="76" customFormat="1">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row>
    <row r="29" spans="1:65" s="76" customFormat="1">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row>
  </sheetData>
  <mergeCells count="2">
    <mergeCell ref="A18:W18"/>
    <mergeCell ref="A19:W19"/>
  </mergeCells>
  <printOptions headings="1" gridLines="1"/>
  <pageMargins left="0.5" right="0.5" top="0.5" bottom="0.5" header="0" footer="0"/>
  <pageSetup paperSize="5" scale="67" orientation="landscape" horizontalDpi="1200" verticalDpi="1200"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L34"/>
  <sheetViews>
    <sheetView zoomScaleNormal="100" workbookViewId="0">
      <selection activeCell="K32" sqref="K32"/>
    </sheetView>
  </sheetViews>
  <sheetFormatPr defaultColWidth="8.85546875" defaultRowHeight="15"/>
  <cols>
    <col min="1" max="1" width="10.85546875" style="77" customWidth="1"/>
    <col min="2" max="2" width="8.42578125" style="77" customWidth="1"/>
    <col min="3" max="3" width="8.42578125" style="77" bestFit="1" customWidth="1"/>
    <col min="4" max="4" width="9.28515625" style="77" bestFit="1" customWidth="1"/>
    <col min="5" max="5" width="11.42578125" style="77" customWidth="1"/>
    <col min="6" max="6" width="11.42578125" style="77" bestFit="1" customWidth="1"/>
    <col min="7" max="8" width="12.140625" style="77" customWidth="1"/>
    <col min="9" max="9" width="8.85546875" style="77" bestFit="1" customWidth="1"/>
    <col min="10" max="11" width="11.85546875" style="77" bestFit="1" customWidth="1"/>
    <col min="12" max="12" width="11.140625" style="77" customWidth="1"/>
    <col min="13" max="13" width="13.140625" style="77" bestFit="1" customWidth="1"/>
    <col min="14" max="14" width="10.85546875" style="77" customWidth="1"/>
    <col min="15" max="15" width="13.42578125" style="77" bestFit="1" customWidth="1"/>
    <col min="16" max="16" width="14.28515625" style="77" customWidth="1"/>
    <col min="17" max="17" width="12.42578125" style="77" bestFit="1" customWidth="1"/>
    <col min="18" max="18" width="9" style="77" bestFit="1" customWidth="1"/>
    <col min="19" max="19" width="11.85546875" style="77" bestFit="1" customWidth="1"/>
    <col min="20" max="20" width="12.85546875" style="77" bestFit="1" customWidth="1"/>
    <col min="21" max="21" width="13.28515625" style="77" bestFit="1" customWidth="1"/>
    <col min="22" max="22" width="10.85546875" style="77" bestFit="1" customWidth="1"/>
    <col min="23" max="23" width="12.85546875" style="77" bestFit="1" customWidth="1"/>
    <col min="24" max="63" width="8.85546875" style="214"/>
    <col min="64" max="16384" width="8.85546875" style="77"/>
  </cols>
  <sheetData>
    <row r="1" spans="1:220" s="1" customFormat="1" ht="18.75">
      <c r="A1" s="1" t="s">
        <v>45</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row>
    <row r="3" spans="1:220" s="17" customFormat="1">
      <c r="A3" s="11">
        <v>2021</v>
      </c>
      <c r="B3" s="409">
        <v>8</v>
      </c>
      <c r="C3" s="409">
        <v>4.33</v>
      </c>
      <c r="D3" s="410">
        <f>SUM(B3:C3)</f>
        <v>12.33</v>
      </c>
      <c r="E3" s="427">
        <f>ROUND((N4/B4),0)</f>
        <v>13</v>
      </c>
      <c r="F3" s="427">
        <f>ROUND((N4/D4),0)</f>
        <v>7</v>
      </c>
      <c r="G3" s="409">
        <v>8</v>
      </c>
      <c r="H3" s="409">
        <v>4.33</v>
      </c>
      <c r="I3" s="409">
        <v>80</v>
      </c>
      <c r="J3" s="409">
        <v>305</v>
      </c>
      <c r="K3" s="410">
        <f>SUM(I3:J3)</f>
        <v>385</v>
      </c>
      <c r="L3" s="409">
        <v>109.8</v>
      </c>
      <c r="M3" s="411">
        <f>(I3+L3)</f>
        <v>189.8</v>
      </c>
      <c r="N3" s="409">
        <v>66</v>
      </c>
      <c r="O3" s="409">
        <v>246</v>
      </c>
      <c r="P3" s="413">
        <f>M4/O4</f>
        <v>0.76166666666666671</v>
      </c>
      <c r="Q3" s="409">
        <v>141</v>
      </c>
      <c r="R3" s="409">
        <v>18</v>
      </c>
      <c r="S3" s="414">
        <v>1082037</v>
      </c>
      <c r="T3" s="415">
        <f>SUM(U3:V3)</f>
        <v>1082037</v>
      </c>
      <c r="U3" s="414">
        <v>1082037</v>
      </c>
      <c r="V3" s="414">
        <v>0</v>
      </c>
      <c r="W3" s="335">
        <v>0</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7</v>
      </c>
      <c r="C4" s="409">
        <v>5.5</v>
      </c>
      <c r="D4" s="410">
        <v>12.5</v>
      </c>
      <c r="E4" s="427">
        <v>6.56</v>
      </c>
      <c r="F4" s="427">
        <v>19.2</v>
      </c>
      <c r="G4" s="409">
        <v>7</v>
      </c>
      <c r="H4" s="409">
        <v>5.5</v>
      </c>
      <c r="I4" s="409">
        <v>82</v>
      </c>
      <c r="J4" s="409">
        <v>280</v>
      </c>
      <c r="K4" s="410">
        <v>362</v>
      </c>
      <c r="L4" s="409">
        <v>100.8</v>
      </c>
      <c r="M4" s="411">
        <v>182.8</v>
      </c>
      <c r="N4" s="409">
        <v>89</v>
      </c>
      <c r="O4" s="409">
        <v>240</v>
      </c>
      <c r="P4" s="413">
        <v>0.76249999999999996</v>
      </c>
      <c r="Q4" s="409">
        <v>172</v>
      </c>
      <c r="R4" s="409">
        <v>10</v>
      </c>
      <c r="S4" s="414">
        <v>1282398</v>
      </c>
      <c r="T4" s="415">
        <v>1128823</v>
      </c>
      <c r="U4" s="414">
        <v>1128823</v>
      </c>
      <c r="V4" s="414">
        <v>0</v>
      </c>
      <c r="W4" s="335">
        <v>0</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8</v>
      </c>
      <c r="C5" s="409">
        <v>2</v>
      </c>
      <c r="D5" s="410">
        <f>SUM(B5:C5)</f>
        <v>10</v>
      </c>
      <c r="E5" s="427">
        <f>I5/D5</f>
        <v>12.7</v>
      </c>
      <c r="F5" s="427">
        <f>O5/D5</f>
        <v>24.6</v>
      </c>
      <c r="G5" s="409">
        <v>8</v>
      </c>
      <c r="H5" s="409">
        <v>3</v>
      </c>
      <c r="I5" s="409">
        <v>127</v>
      </c>
      <c r="J5" s="409">
        <v>258</v>
      </c>
      <c r="K5" s="410">
        <f>SUM(I5:J5)</f>
        <v>385</v>
      </c>
      <c r="L5" s="409">
        <v>93</v>
      </c>
      <c r="M5" s="411">
        <f>(I5+L5)</f>
        <v>220</v>
      </c>
      <c r="N5" s="409">
        <v>63</v>
      </c>
      <c r="O5" s="409">
        <v>246</v>
      </c>
      <c r="P5" s="413">
        <f>M5/O5</f>
        <v>0.89430894308943087</v>
      </c>
      <c r="Q5" s="409">
        <v>138</v>
      </c>
      <c r="R5" s="409">
        <v>1</v>
      </c>
      <c r="S5" s="414">
        <v>1128823</v>
      </c>
      <c r="T5" s="415">
        <f>SUM(U5:V5)</f>
        <v>1089029</v>
      </c>
      <c r="U5" s="414">
        <v>1089029</v>
      </c>
      <c r="V5" s="414">
        <v>0</v>
      </c>
      <c r="W5" s="335">
        <f>V5/T5</f>
        <v>0</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8</v>
      </c>
      <c r="C6" s="20">
        <v>2</v>
      </c>
      <c r="D6" s="29">
        <f>SUM(B6:C6)</f>
        <v>10</v>
      </c>
      <c r="E6" s="172">
        <f>ROUND((O6/B6), 0)</f>
        <v>30</v>
      </c>
      <c r="F6" s="172">
        <f>ROUND((O6/D6), 0)</f>
        <v>24</v>
      </c>
      <c r="G6" s="20">
        <v>8</v>
      </c>
      <c r="H6" s="20">
        <v>2</v>
      </c>
      <c r="I6" s="20">
        <v>115</v>
      </c>
      <c r="J6" s="20">
        <v>244</v>
      </c>
      <c r="K6" s="29">
        <f t="shared" ref="K6" si="0">SUM(I6:J6)</f>
        <v>359</v>
      </c>
      <c r="L6" s="20">
        <v>88</v>
      </c>
      <c r="M6" s="172">
        <f>(I6+L6)</f>
        <v>203</v>
      </c>
      <c r="N6" s="20">
        <v>54</v>
      </c>
      <c r="O6" s="20">
        <v>238</v>
      </c>
      <c r="P6" s="183">
        <f>M6/O6</f>
        <v>0.8529411764705882</v>
      </c>
      <c r="Q6" s="20">
        <v>130</v>
      </c>
      <c r="R6" s="20">
        <v>6</v>
      </c>
      <c r="S6" s="24">
        <v>1118081</v>
      </c>
      <c r="T6" s="30">
        <f>SUM(U6:V6)</f>
        <v>1067080</v>
      </c>
      <c r="U6" s="24">
        <v>1067080</v>
      </c>
      <c r="V6" s="24">
        <v>0</v>
      </c>
      <c r="W6" s="185">
        <f>V6/T6</f>
        <v>0</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7" customFormat="1">
      <c r="A7" s="33">
        <v>2017</v>
      </c>
      <c r="B7" s="20">
        <v>8</v>
      </c>
      <c r="C7" s="20">
        <v>2</v>
      </c>
      <c r="D7" s="29">
        <f>SUM(B7:C7)</f>
        <v>10</v>
      </c>
      <c r="E7" s="172">
        <f>ROUND((O7/B7), 0)</f>
        <v>34</v>
      </c>
      <c r="F7" s="172">
        <f>ROUND((O7/D7), 0)</f>
        <v>27</v>
      </c>
      <c r="G7" s="20">
        <v>8</v>
      </c>
      <c r="H7" s="20">
        <v>1.75</v>
      </c>
      <c r="I7" s="20">
        <v>84</v>
      </c>
      <c r="J7" s="20">
        <v>253</v>
      </c>
      <c r="K7" s="29">
        <f>SUM(I7:J7)</f>
        <v>337</v>
      </c>
      <c r="L7" s="20">
        <v>91</v>
      </c>
      <c r="M7" s="172">
        <f>(I7+L7)</f>
        <v>175</v>
      </c>
      <c r="N7" s="20">
        <v>66</v>
      </c>
      <c r="O7" s="20">
        <v>268</v>
      </c>
      <c r="P7" s="183">
        <f t="shared" ref="P7:P22" si="1">M7/O7</f>
        <v>0.65298507462686572</v>
      </c>
      <c r="Q7" s="20">
        <v>140</v>
      </c>
      <c r="R7" s="20">
        <v>3</v>
      </c>
      <c r="S7" s="24">
        <v>1616437</v>
      </c>
      <c r="T7" s="30">
        <f>SUM(U7:V7)</f>
        <v>1085780</v>
      </c>
      <c r="U7" s="24">
        <v>1085780</v>
      </c>
      <c r="V7" s="24">
        <v>0</v>
      </c>
      <c r="W7" s="185">
        <f t="shared" ref="W7:W22" si="2">V7/T7</f>
        <v>0</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row>
    <row r="8" spans="1:220" s="78" customFormat="1">
      <c r="A8" s="143">
        <v>2016</v>
      </c>
      <c r="B8" s="91">
        <v>8</v>
      </c>
      <c r="C8" s="91">
        <v>0.83</v>
      </c>
      <c r="D8" s="81">
        <f>B8+C8</f>
        <v>8.83</v>
      </c>
      <c r="E8" s="82">
        <f>I8/D8</f>
        <v>7.1347678369195924</v>
      </c>
      <c r="F8" s="82">
        <f>O8/D8</f>
        <v>25.784824462061156</v>
      </c>
      <c r="G8" s="91">
        <v>7</v>
      </c>
      <c r="H8" s="91">
        <v>0.83</v>
      </c>
      <c r="I8" s="91">
        <v>63</v>
      </c>
      <c r="J8" s="91">
        <v>275</v>
      </c>
      <c r="K8" s="108">
        <f>I8+J8</f>
        <v>338</v>
      </c>
      <c r="L8" s="91">
        <v>109.75</v>
      </c>
      <c r="M8" s="109">
        <f>I8+L8</f>
        <v>172.75</v>
      </c>
      <c r="N8" s="91">
        <v>41</v>
      </c>
      <c r="O8" s="91">
        <v>227.68</v>
      </c>
      <c r="P8" s="183">
        <f t="shared" si="1"/>
        <v>0.75874033731553059</v>
      </c>
      <c r="Q8" s="91">
        <v>144</v>
      </c>
      <c r="R8" s="91">
        <v>28</v>
      </c>
      <c r="S8" s="102">
        <v>1174574</v>
      </c>
      <c r="T8" s="110">
        <f>SUM(U8:V8)</f>
        <v>1182064</v>
      </c>
      <c r="U8" s="102">
        <v>1182064</v>
      </c>
      <c r="V8" s="102">
        <v>0</v>
      </c>
      <c r="W8" s="185">
        <f t="shared" si="2"/>
        <v>0</v>
      </c>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row>
    <row r="9" spans="1:220" s="79" customFormat="1">
      <c r="A9" s="90">
        <v>2015</v>
      </c>
      <c r="B9" s="91">
        <v>8</v>
      </c>
      <c r="C9" s="91">
        <v>1.5</v>
      </c>
      <c r="D9" s="81">
        <v>9.5</v>
      </c>
      <c r="E9" s="81">
        <v>15.2</v>
      </c>
      <c r="F9" s="81">
        <v>12.8</v>
      </c>
      <c r="G9" s="111"/>
      <c r="H9" s="111"/>
      <c r="I9" s="91">
        <v>56</v>
      </c>
      <c r="J9" s="91">
        <v>269</v>
      </c>
      <c r="K9" s="81">
        <v>325</v>
      </c>
      <c r="L9" s="91">
        <v>97</v>
      </c>
      <c r="M9" s="109">
        <f>I9+L9</f>
        <v>153</v>
      </c>
      <c r="N9" s="91">
        <v>22</v>
      </c>
      <c r="O9" s="91">
        <v>245</v>
      </c>
      <c r="P9" s="183">
        <f t="shared" si="1"/>
        <v>0.6244897959183674</v>
      </c>
      <c r="Q9" s="91">
        <v>282</v>
      </c>
      <c r="R9" s="91">
        <v>63</v>
      </c>
      <c r="S9" s="102">
        <v>1129734</v>
      </c>
      <c r="T9" s="103">
        <v>1458404</v>
      </c>
      <c r="U9" s="102">
        <v>1458404</v>
      </c>
      <c r="V9" s="102">
        <v>0</v>
      </c>
      <c r="W9" s="185">
        <f t="shared" si="2"/>
        <v>0</v>
      </c>
    </row>
    <row r="10" spans="1:220" s="71" customFormat="1">
      <c r="A10" s="90">
        <v>2014</v>
      </c>
      <c r="B10" s="91">
        <v>8</v>
      </c>
      <c r="C10" s="91">
        <v>3</v>
      </c>
      <c r="D10" s="81">
        <f>B10+C10</f>
        <v>11</v>
      </c>
      <c r="E10" s="82">
        <f>I10/D10</f>
        <v>5.6363636363636367</v>
      </c>
      <c r="F10" s="82">
        <f>O10/D10</f>
        <v>24</v>
      </c>
      <c r="G10" s="111"/>
      <c r="H10" s="111"/>
      <c r="I10" s="91">
        <v>62</v>
      </c>
      <c r="J10" s="91">
        <v>305</v>
      </c>
      <c r="K10" s="81">
        <f>I10+J10</f>
        <v>367</v>
      </c>
      <c r="L10" s="91">
        <v>117</v>
      </c>
      <c r="M10" s="82">
        <f>I10+L10</f>
        <v>179</v>
      </c>
      <c r="N10" s="91">
        <v>27</v>
      </c>
      <c r="O10" s="91">
        <v>264</v>
      </c>
      <c r="P10" s="183">
        <f t="shared" si="1"/>
        <v>0.67803030303030298</v>
      </c>
      <c r="Q10" s="91">
        <v>188</v>
      </c>
      <c r="R10" s="91">
        <v>38</v>
      </c>
      <c r="S10" s="92">
        <v>1075673</v>
      </c>
      <c r="T10" s="85">
        <f t="shared" ref="T10:T22" si="3">SUM(U10:V10)</f>
        <v>1075673</v>
      </c>
      <c r="U10" s="92">
        <v>1075673</v>
      </c>
      <c r="V10" s="92">
        <v>0</v>
      </c>
      <c r="W10" s="185">
        <f t="shared" si="2"/>
        <v>0</v>
      </c>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row>
    <row r="11" spans="1:220" s="71" customFormat="1">
      <c r="A11" s="90">
        <v>2013</v>
      </c>
      <c r="B11" s="361">
        <v>8</v>
      </c>
      <c r="C11" s="361">
        <v>3</v>
      </c>
      <c r="D11" s="108">
        <f>B11+C11</f>
        <v>11</v>
      </c>
      <c r="E11" s="109">
        <f>I11/D11</f>
        <v>6.9090909090909092</v>
      </c>
      <c r="F11" s="109">
        <f>O11/D11</f>
        <v>31.018181818181816</v>
      </c>
      <c r="G11" s="113"/>
      <c r="H11" s="113"/>
      <c r="I11" s="361">
        <v>76</v>
      </c>
      <c r="J11" s="361">
        <v>324</v>
      </c>
      <c r="K11" s="108">
        <f>I11+J11</f>
        <v>400</v>
      </c>
      <c r="L11" s="361">
        <v>124.4</v>
      </c>
      <c r="M11" s="109">
        <f>I11+L11</f>
        <v>200.4</v>
      </c>
      <c r="N11" s="361">
        <v>23</v>
      </c>
      <c r="O11" s="361">
        <v>341.2</v>
      </c>
      <c r="P11" s="183">
        <f t="shared" si="1"/>
        <v>0.58733880422039864</v>
      </c>
      <c r="Q11" s="361">
        <v>202</v>
      </c>
      <c r="R11" s="361">
        <v>43</v>
      </c>
      <c r="S11" s="112">
        <v>1205904</v>
      </c>
      <c r="T11" s="110">
        <f t="shared" si="3"/>
        <v>1192091</v>
      </c>
      <c r="U11" s="112">
        <v>1192091</v>
      </c>
      <c r="V11" s="112">
        <v>0</v>
      </c>
      <c r="W11" s="185">
        <f t="shared" si="2"/>
        <v>0</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row>
    <row r="12" spans="1:220" s="71" customFormat="1">
      <c r="A12" s="90">
        <v>2012</v>
      </c>
      <c r="B12" s="361">
        <v>9</v>
      </c>
      <c r="C12" s="361">
        <v>1.3</v>
      </c>
      <c r="D12" s="108">
        <f>B12+C12</f>
        <v>10.3</v>
      </c>
      <c r="E12" s="109">
        <f>I12/D12</f>
        <v>10.776699029126213</v>
      </c>
      <c r="F12" s="109">
        <f>O12/D12</f>
        <v>32.699029126213588</v>
      </c>
      <c r="G12" s="113"/>
      <c r="H12" s="113"/>
      <c r="I12" s="361">
        <v>111</v>
      </c>
      <c r="J12" s="361">
        <v>365</v>
      </c>
      <c r="K12" s="108">
        <f>I12+J12</f>
        <v>476</v>
      </c>
      <c r="L12" s="361">
        <v>144.6</v>
      </c>
      <c r="M12" s="109">
        <f>I12+L12</f>
        <v>255.6</v>
      </c>
      <c r="N12" s="361">
        <v>25</v>
      </c>
      <c r="O12" s="361">
        <v>336.8</v>
      </c>
      <c r="P12" s="183">
        <f t="shared" si="1"/>
        <v>0.75890736342042753</v>
      </c>
      <c r="Q12" s="361">
        <v>153</v>
      </c>
      <c r="R12" s="361">
        <v>17</v>
      </c>
      <c r="S12" s="112">
        <v>1359040</v>
      </c>
      <c r="T12" s="110">
        <f t="shared" si="3"/>
        <v>1359040</v>
      </c>
      <c r="U12" s="112">
        <v>1359040</v>
      </c>
      <c r="V12" s="112">
        <v>0</v>
      </c>
      <c r="W12" s="185">
        <f t="shared" si="2"/>
        <v>0</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row>
    <row r="13" spans="1:220" s="71" customFormat="1">
      <c r="A13" s="90" t="s">
        <v>81</v>
      </c>
      <c r="B13" s="361">
        <v>12</v>
      </c>
      <c r="C13" s="361">
        <v>2.2999999999999998</v>
      </c>
      <c r="D13" s="108">
        <f t="shared" ref="D13:D22" si="4">SUM(B13:C13)</f>
        <v>14.3</v>
      </c>
      <c r="E13" s="109">
        <f t="shared" ref="E13:E22" si="5">ROUND((O13/B13), 0)</f>
        <v>32</v>
      </c>
      <c r="F13" s="109">
        <f>ROUND((O13/D13), 0)</f>
        <v>27</v>
      </c>
      <c r="G13" s="113"/>
      <c r="H13" s="113"/>
      <c r="I13" s="361">
        <v>122</v>
      </c>
      <c r="J13" s="361">
        <v>387</v>
      </c>
      <c r="K13" s="108">
        <f t="shared" ref="K13:K22" si="6">SUM(I13:J13)</f>
        <v>509</v>
      </c>
      <c r="L13" s="361">
        <v>193.5</v>
      </c>
      <c r="M13" s="109">
        <f t="shared" ref="M13:M22" si="7">(I13+L13)</f>
        <v>315.5</v>
      </c>
      <c r="N13" s="361">
        <v>27</v>
      </c>
      <c r="O13" s="361">
        <v>388.75</v>
      </c>
      <c r="P13" s="183">
        <f t="shared" si="1"/>
        <v>0.81157556270096465</v>
      </c>
      <c r="Q13" s="361">
        <v>178</v>
      </c>
      <c r="R13" s="361">
        <v>28</v>
      </c>
      <c r="S13" s="112">
        <v>586251</v>
      </c>
      <c r="T13" s="110">
        <f t="shared" si="3"/>
        <v>583848</v>
      </c>
      <c r="U13" s="112">
        <v>583848</v>
      </c>
      <c r="V13" s="112">
        <v>0</v>
      </c>
      <c r="W13" s="185">
        <f t="shared" si="2"/>
        <v>0</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row>
    <row r="14" spans="1:220" s="71" customFormat="1">
      <c r="A14" s="90" t="s">
        <v>82</v>
      </c>
      <c r="B14" s="361">
        <v>11</v>
      </c>
      <c r="C14" s="361">
        <v>5.66</v>
      </c>
      <c r="D14" s="108">
        <f t="shared" si="4"/>
        <v>16.66</v>
      </c>
      <c r="E14" s="109">
        <f t="shared" si="5"/>
        <v>28</v>
      </c>
      <c r="F14" s="109">
        <f>ROUND((O14/D14), 0)</f>
        <v>18</v>
      </c>
      <c r="G14" s="113"/>
      <c r="H14" s="113"/>
      <c r="I14" s="361">
        <v>99</v>
      </c>
      <c r="J14" s="361">
        <v>335</v>
      </c>
      <c r="K14" s="108">
        <f t="shared" si="6"/>
        <v>434</v>
      </c>
      <c r="L14" s="361">
        <v>141</v>
      </c>
      <c r="M14" s="109">
        <f t="shared" si="7"/>
        <v>240</v>
      </c>
      <c r="N14" s="361">
        <v>22</v>
      </c>
      <c r="O14" s="361">
        <v>303.25</v>
      </c>
      <c r="P14" s="183">
        <f t="shared" si="1"/>
        <v>0.79142621599340479</v>
      </c>
      <c r="Q14" s="361">
        <v>144</v>
      </c>
      <c r="R14" s="361">
        <v>9</v>
      </c>
      <c r="S14" s="112">
        <v>559660.31999999995</v>
      </c>
      <c r="T14" s="110">
        <f t="shared" si="3"/>
        <v>559660</v>
      </c>
      <c r="U14" s="112">
        <v>559660</v>
      </c>
      <c r="V14" s="112">
        <v>0</v>
      </c>
      <c r="W14" s="185">
        <f t="shared" si="2"/>
        <v>0</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row>
    <row r="15" spans="1:220" s="71" customFormat="1">
      <c r="A15" s="90" t="s">
        <v>83</v>
      </c>
      <c r="B15" s="361">
        <v>13</v>
      </c>
      <c r="C15" s="361">
        <v>5</v>
      </c>
      <c r="D15" s="108">
        <f t="shared" si="4"/>
        <v>18</v>
      </c>
      <c r="E15" s="109">
        <f t="shared" si="5"/>
        <v>23</v>
      </c>
      <c r="F15" s="109">
        <f>ROUND((O15/D15), 0)</f>
        <v>16</v>
      </c>
      <c r="G15" s="113"/>
      <c r="H15" s="113"/>
      <c r="I15" s="361">
        <v>49</v>
      </c>
      <c r="J15" s="361">
        <v>418</v>
      </c>
      <c r="K15" s="108">
        <f t="shared" si="6"/>
        <v>467</v>
      </c>
      <c r="L15" s="361">
        <v>194</v>
      </c>
      <c r="M15" s="109">
        <f t="shared" si="7"/>
        <v>243</v>
      </c>
      <c r="N15" s="361">
        <v>31</v>
      </c>
      <c r="O15" s="361">
        <v>296.5</v>
      </c>
      <c r="P15" s="183">
        <f t="shared" si="1"/>
        <v>0.81956155143338949</v>
      </c>
      <c r="Q15" s="361">
        <v>200</v>
      </c>
      <c r="R15" s="361">
        <v>9</v>
      </c>
      <c r="S15" s="112">
        <v>489822</v>
      </c>
      <c r="T15" s="110">
        <f t="shared" si="3"/>
        <v>489822</v>
      </c>
      <c r="U15" s="112">
        <v>489822</v>
      </c>
      <c r="V15" s="112">
        <v>0</v>
      </c>
      <c r="W15" s="185">
        <f t="shared" si="2"/>
        <v>0</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row>
    <row r="16" spans="1:220" s="71" customFormat="1">
      <c r="A16" s="90" t="s">
        <v>84</v>
      </c>
      <c r="B16" s="361">
        <v>8</v>
      </c>
      <c r="C16" s="361">
        <v>7</v>
      </c>
      <c r="D16" s="108">
        <f t="shared" si="4"/>
        <v>15</v>
      </c>
      <c r="E16" s="109">
        <f t="shared" si="5"/>
        <v>40</v>
      </c>
      <c r="F16" s="109">
        <f>ROUND((O16/D16), 0)</f>
        <v>21</v>
      </c>
      <c r="G16" s="113"/>
      <c r="H16" s="113"/>
      <c r="I16" s="361">
        <v>44</v>
      </c>
      <c r="J16" s="361">
        <v>474</v>
      </c>
      <c r="K16" s="108">
        <f t="shared" si="6"/>
        <v>518</v>
      </c>
      <c r="L16" s="361">
        <v>223</v>
      </c>
      <c r="M16" s="109">
        <f t="shared" si="7"/>
        <v>267</v>
      </c>
      <c r="N16" s="361">
        <v>35</v>
      </c>
      <c r="O16" s="361">
        <v>322</v>
      </c>
      <c r="P16" s="183">
        <f t="shared" si="1"/>
        <v>0.82919254658385089</v>
      </c>
      <c r="Q16" s="361">
        <v>143</v>
      </c>
      <c r="R16" s="361">
        <v>3</v>
      </c>
      <c r="S16" s="112">
        <v>644101.51</v>
      </c>
      <c r="T16" s="110">
        <f t="shared" si="3"/>
        <v>644102</v>
      </c>
      <c r="U16" s="112">
        <v>644102</v>
      </c>
      <c r="V16" s="112">
        <v>0</v>
      </c>
      <c r="W16" s="185">
        <f t="shared" si="2"/>
        <v>0</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row>
    <row r="17" spans="1:63" s="71" customFormat="1">
      <c r="A17" s="90">
        <v>2007</v>
      </c>
      <c r="B17" s="361">
        <v>8</v>
      </c>
      <c r="C17" s="361">
        <v>4.5</v>
      </c>
      <c r="D17" s="194">
        <f t="shared" si="4"/>
        <v>12.5</v>
      </c>
      <c r="E17" s="109">
        <f t="shared" si="5"/>
        <v>31</v>
      </c>
      <c r="F17" s="109">
        <f>ROUND((O18/D18), 0)</f>
        <v>10</v>
      </c>
      <c r="G17" s="113"/>
      <c r="H17" s="113"/>
      <c r="I17" s="361">
        <v>44</v>
      </c>
      <c r="J17" s="361">
        <v>332</v>
      </c>
      <c r="K17" s="194">
        <f t="shared" si="6"/>
        <v>376</v>
      </c>
      <c r="L17" s="361">
        <v>149.1</v>
      </c>
      <c r="M17" s="109">
        <f t="shared" si="7"/>
        <v>193.1</v>
      </c>
      <c r="N17" s="361">
        <v>29</v>
      </c>
      <c r="O17" s="361">
        <v>246</v>
      </c>
      <c r="P17" s="183">
        <f t="shared" si="1"/>
        <v>0.78495934959349589</v>
      </c>
      <c r="Q17" s="361">
        <v>126</v>
      </c>
      <c r="R17" s="361">
        <v>10</v>
      </c>
      <c r="S17" s="192">
        <v>1113292</v>
      </c>
      <c r="T17" s="110">
        <f t="shared" si="3"/>
        <v>1113292</v>
      </c>
      <c r="U17" s="192">
        <v>1113292</v>
      </c>
      <c r="V17" s="192">
        <v>0</v>
      </c>
      <c r="W17" s="185">
        <f t="shared" si="2"/>
        <v>0</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row>
    <row r="18" spans="1:63" s="71" customFormat="1">
      <c r="A18" s="90">
        <v>2006</v>
      </c>
      <c r="B18" s="361">
        <v>9</v>
      </c>
      <c r="C18" s="361">
        <v>10</v>
      </c>
      <c r="D18" s="194">
        <f t="shared" si="4"/>
        <v>19</v>
      </c>
      <c r="E18" s="109">
        <f t="shared" si="5"/>
        <v>22</v>
      </c>
      <c r="F18" s="109">
        <f>ROUND((O19/D19), 0)</f>
        <v>17</v>
      </c>
      <c r="G18" s="113"/>
      <c r="H18" s="113"/>
      <c r="I18" s="361">
        <v>45</v>
      </c>
      <c r="J18" s="361">
        <v>227</v>
      </c>
      <c r="K18" s="194">
        <f t="shared" si="6"/>
        <v>272</v>
      </c>
      <c r="L18" s="361">
        <v>96</v>
      </c>
      <c r="M18" s="109">
        <f t="shared" si="7"/>
        <v>141</v>
      </c>
      <c r="N18" s="361">
        <v>16</v>
      </c>
      <c r="O18" s="361">
        <v>195</v>
      </c>
      <c r="P18" s="183">
        <f t="shared" si="1"/>
        <v>0.72307692307692306</v>
      </c>
      <c r="Q18" s="361">
        <v>114</v>
      </c>
      <c r="R18" s="361">
        <v>3</v>
      </c>
      <c r="S18" s="192">
        <v>745569</v>
      </c>
      <c r="T18" s="110">
        <f t="shared" si="3"/>
        <v>745569</v>
      </c>
      <c r="U18" s="192">
        <v>745569</v>
      </c>
      <c r="V18" s="192">
        <v>0</v>
      </c>
      <c r="W18" s="185">
        <f t="shared" si="2"/>
        <v>0</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row>
    <row r="19" spans="1:63" s="71" customFormat="1">
      <c r="A19" s="90">
        <v>2005</v>
      </c>
      <c r="B19" s="361">
        <v>7</v>
      </c>
      <c r="C19" s="361">
        <v>3</v>
      </c>
      <c r="D19" s="194">
        <f t="shared" si="4"/>
        <v>10</v>
      </c>
      <c r="E19" s="109">
        <f t="shared" si="5"/>
        <v>25</v>
      </c>
      <c r="F19" s="109">
        <f>ROUND((O20/D20), 0)</f>
        <v>14</v>
      </c>
      <c r="G19" s="113"/>
      <c r="H19" s="113"/>
      <c r="I19" s="361">
        <v>57</v>
      </c>
      <c r="J19" s="361">
        <v>197</v>
      </c>
      <c r="K19" s="194">
        <f t="shared" si="6"/>
        <v>254</v>
      </c>
      <c r="L19" s="361">
        <v>78</v>
      </c>
      <c r="M19" s="109">
        <f t="shared" si="7"/>
        <v>135</v>
      </c>
      <c r="N19" s="361">
        <v>19</v>
      </c>
      <c r="O19" s="361">
        <v>173</v>
      </c>
      <c r="P19" s="183">
        <f t="shared" si="1"/>
        <v>0.78034682080924855</v>
      </c>
      <c r="Q19" s="361">
        <v>76</v>
      </c>
      <c r="R19" s="361">
        <v>11</v>
      </c>
      <c r="S19" s="192">
        <v>985988</v>
      </c>
      <c r="T19" s="110">
        <f t="shared" si="3"/>
        <v>985988</v>
      </c>
      <c r="U19" s="192">
        <v>985988</v>
      </c>
      <c r="V19" s="192">
        <v>0</v>
      </c>
      <c r="W19" s="185">
        <f t="shared" si="2"/>
        <v>0</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row>
    <row r="20" spans="1:63" s="71" customFormat="1">
      <c r="A20" s="90">
        <v>2004</v>
      </c>
      <c r="B20" s="195">
        <v>7</v>
      </c>
      <c r="C20" s="195">
        <v>4</v>
      </c>
      <c r="D20" s="194">
        <f t="shared" si="4"/>
        <v>11</v>
      </c>
      <c r="E20" s="109">
        <f t="shared" si="5"/>
        <v>22</v>
      </c>
      <c r="F20" s="217"/>
      <c r="G20" s="113"/>
      <c r="H20" s="113"/>
      <c r="I20" s="195">
        <v>48</v>
      </c>
      <c r="J20" s="195">
        <v>179</v>
      </c>
      <c r="K20" s="194">
        <f t="shared" si="6"/>
        <v>227</v>
      </c>
      <c r="L20" s="195">
        <v>63</v>
      </c>
      <c r="M20" s="109">
        <f t="shared" si="7"/>
        <v>111</v>
      </c>
      <c r="N20" s="195">
        <v>19</v>
      </c>
      <c r="O20" s="195">
        <v>157</v>
      </c>
      <c r="P20" s="183">
        <f t="shared" si="1"/>
        <v>0.70700636942675155</v>
      </c>
      <c r="Q20" s="195">
        <v>82</v>
      </c>
      <c r="R20" s="361">
        <v>8</v>
      </c>
      <c r="S20" s="192">
        <v>1034832</v>
      </c>
      <c r="T20" s="110">
        <f t="shared" si="3"/>
        <v>1034832</v>
      </c>
      <c r="U20" s="192">
        <v>1034832</v>
      </c>
      <c r="V20" s="192">
        <v>0</v>
      </c>
      <c r="W20" s="185">
        <f t="shared" si="2"/>
        <v>0</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row>
    <row r="21" spans="1:63" s="71" customFormat="1">
      <c r="A21" s="90">
        <v>2003</v>
      </c>
      <c r="B21" s="195">
        <v>7</v>
      </c>
      <c r="C21" s="195">
        <v>1</v>
      </c>
      <c r="D21" s="194">
        <f t="shared" si="4"/>
        <v>8</v>
      </c>
      <c r="E21" s="109">
        <f t="shared" si="5"/>
        <v>19</v>
      </c>
      <c r="F21" s="109">
        <f>ROUND((O21/D21), 0)</f>
        <v>17</v>
      </c>
      <c r="G21" s="113"/>
      <c r="H21" s="113"/>
      <c r="I21" s="195">
        <v>50</v>
      </c>
      <c r="J21" s="195">
        <v>154</v>
      </c>
      <c r="K21" s="194">
        <f t="shared" si="6"/>
        <v>204</v>
      </c>
      <c r="L21" s="195">
        <v>52</v>
      </c>
      <c r="M21" s="109">
        <f t="shared" si="7"/>
        <v>102</v>
      </c>
      <c r="N21" s="195">
        <v>9</v>
      </c>
      <c r="O21" s="195">
        <v>135</v>
      </c>
      <c r="P21" s="183">
        <f t="shared" si="1"/>
        <v>0.75555555555555554</v>
      </c>
      <c r="Q21" s="195">
        <v>65</v>
      </c>
      <c r="R21" s="361">
        <v>6</v>
      </c>
      <c r="S21" s="192">
        <v>911397</v>
      </c>
      <c r="T21" s="110">
        <f t="shared" si="3"/>
        <v>911397</v>
      </c>
      <c r="U21" s="192">
        <v>911397</v>
      </c>
      <c r="V21" s="192">
        <v>0</v>
      </c>
      <c r="W21" s="185">
        <f t="shared" si="2"/>
        <v>0</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row>
    <row r="22" spans="1:63" s="71" customFormat="1">
      <c r="A22" s="90">
        <v>2002</v>
      </c>
      <c r="B22" s="195">
        <v>6</v>
      </c>
      <c r="C22" s="195">
        <f>ROUND(2.3, 0)</f>
        <v>2</v>
      </c>
      <c r="D22" s="194">
        <f t="shared" si="4"/>
        <v>8</v>
      </c>
      <c r="E22" s="109">
        <f t="shared" si="5"/>
        <v>24</v>
      </c>
      <c r="F22" s="109">
        <f>ROUND((O22/D22), 0)</f>
        <v>18</v>
      </c>
      <c r="G22" s="113"/>
      <c r="H22" s="113"/>
      <c r="I22" s="195">
        <v>44</v>
      </c>
      <c r="J22" s="195">
        <v>148</v>
      </c>
      <c r="K22" s="194">
        <f t="shared" si="6"/>
        <v>192</v>
      </c>
      <c r="L22" s="195">
        <f>ROUND(51.75, 0)</f>
        <v>52</v>
      </c>
      <c r="M22" s="109">
        <f t="shared" si="7"/>
        <v>96</v>
      </c>
      <c r="N22" s="195">
        <v>7</v>
      </c>
      <c r="O22" s="195">
        <v>145</v>
      </c>
      <c r="P22" s="183">
        <f t="shared" si="1"/>
        <v>0.66206896551724137</v>
      </c>
      <c r="Q22" s="195">
        <v>45</v>
      </c>
      <c r="R22" s="361">
        <v>8</v>
      </c>
      <c r="S22" s="192">
        <v>978752</v>
      </c>
      <c r="T22" s="110">
        <f t="shared" si="3"/>
        <v>978752</v>
      </c>
      <c r="U22" s="192">
        <v>845853</v>
      </c>
      <c r="V22" s="192">
        <v>132899</v>
      </c>
      <c r="W22" s="185">
        <f t="shared" si="2"/>
        <v>0.13578414143725887</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row>
    <row r="23" spans="1:63" s="76" customFormat="1">
      <c r="G23" s="77"/>
      <c r="H23" s="77"/>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row>
    <row r="24" spans="1:63" s="76" customFormat="1">
      <c r="G24" s="77"/>
      <c r="H24" s="77"/>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row>
    <row r="25" spans="1:63" s="76" customFormat="1">
      <c r="G25" s="77"/>
      <c r="H25" s="77"/>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row>
    <row r="26" spans="1:63" s="76" customFormat="1">
      <c r="G26" s="77"/>
      <c r="H26" s="77"/>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row>
    <row r="27" spans="1:63" s="76" customFormat="1">
      <c r="G27" s="77"/>
      <c r="H27" s="77"/>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row>
    <row r="28" spans="1:63" s="76" customFormat="1">
      <c r="G28" s="77"/>
      <c r="H28" s="77"/>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row>
    <row r="29" spans="1:63" s="76" customFormat="1">
      <c r="G29" s="77"/>
      <c r="H29" s="77"/>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row>
    <row r="30" spans="1:63" s="76" customFormat="1">
      <c r="G30" s="77"/>
      <c r="H30" s="77"/>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row>
    <row r="31" spans="1:63" s="76" customFormat="1">
      <c r="G31" s="77"/>
      <c r="H31" s="77"/>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row>
    <row r="32" spans="1:63" s="76" customFormat="1">
      <c r="G32" s="77"/>
      <c r="H32" s="77"/>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row>
    <row r="33" spans="7:63" s="76" customFormat="1">
      <c r="G33" s="77"/>
      <c r="H33" s="77"/>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row>
    <row r="34" spans="7:63" s="76" customFormat="1">
      <c r="G34" s="77"/>
      <c r="H34" s="77"/>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row>
  </sheetData>
  <printOptions headings="1" gridLines="1"/>
  <pageMargins left="0.5" right="0.5" top="0.5" bottom="0.5" header="0" footer="0"/>
  <pageSetup paperSize="5" scale="62" orientation="landscape"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L34"/>
  <sheetViews>
    <sheetView workbookViewId="0">
      <selection activeCell="E27" sqref="E27"/>
    </sheetView>
  </sheetViews>
  <sheetFormatPr defaultColWidth="8.85546875" defaultRowHeight="15"/>
  <cols>
    <col min="1" max="1" width="11" style="77" customWidth="1"/>
    <col min="2" max="2" width="10.140625" style="77" bestFit="1" customWidth="1"/>
    <col min="3" max="3" width="8.42578125" style="77" bestFit="1" customWidth="1"/>
    <col min="4" max="4" width="9.28515625" style="77" bestFit="1" customWidth="1"/>
    <col min="5" max="5" width="12.28515625" style="77" bestFit="1" customWidth="1"/>
    <col min="6" max="6" width="11.42578125" style="77" bestFit="1" customWidth="1"/>
    <col min="7" max="8" width="12.140625" style="77" customWidth="1"/>
    <col min="9" max="9" width="8.85546875" style="77" bestFit="1" customWidth="1"/>
    <col min="10" max="11" width="11.85546875" style="77" bestFit="1" customWidth="1"/>
    <col min="12" max="12" width="12.28515625" style="77" bestFit="1" customWidth="1"/>
    <col min="13" max="14" width="13.140625" style="77" bestFit="1" customWidth="1"/>
    <col min="15" max="15" width="13.42578125" style="77" bestFit="1" customWidth="1"/>
    <col min="16" max="16" width="14.28515625" style="77" customWidth="1"/>
    <col min="17" max="17" width="12.42578125" style="77" bestFit="1" customWidth="1"/>
    <col min="18" max="18" width="9" style="77" bestFit="1" customWidth="1"/>
    <col min="19" max="19" width="11.85546875" style="77" bestFit="1" customWidth="1"/>
    <col min="20" max="20" width="12.85546875" style="77" bestFit="1" customWidth="1"/>
    <col min="21" max="21" width="10.42578125" style="77" bestFit="1" customWidth="1"/>
    <col min="22" max="22" width="10.85546875" style="77" bestFit="1" customWidth="1"/>
    <col min="23" max="23" width="12.85546875" style="77" bestFit="1" customWidth="1"/>
    <col min="24" max="55" width="8.85546875" style="214"/>
    <col min="56" max="16384" width="8.85546875" style="77"/>
  </cols>
  <sheetData>
    <row r="1" spans="1:220" s="1" customFormat="1" ht="18.75">
      <c r="A1" s="1" t="s">
        <v>46</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row>
    <row r="3" spans="1:220" s="432" customFormat="1">
      <c r="A3" s="417">
        <v>2021</v>
      </c>
      <c r="B3" s="412">
        <v>11</v>
      </c>
      <c r="C3" s="412">
        <v>1.33</v>
      </c>
      <c r="D3" s="429">
        <f>B3+C3</f>
        <v>12.33</v>
      </c>
      <c r="E3" s="411">
        <f>ROUND((O3/B3),0)</f>
        <v>9</v>
      </c>
      <c r="F3" s="411">
        <f t="shared" ref="F3" si="0">ROUND((O3/D3), 0)</f>
        <v>8</v>
      </c>
      <c r="G3" s="412">
        <v>8</v>
      </c>
      <c r="H3" s="412">
        <v>1.33</v>
      </c>
      <c r="I3" s="412">
        <v>85</v>
      </c>
      <c r="J3" s="412">
        <v>10</v>
      </c>
      <c r="K3" s="429">
        <f>I3+J3</f>
        <v>95</v>
      </c>
      <c r="L3" s="412">
        <v>3.6</v>
      </c>
      <c r="M3" s="429">
        <f>I3+L3</f>
        <v>88.6</v>
      </c>
      <c r="N3" s="429" t="s">
        <v>166</v>
      </c>
      <c r="O3" s="412">
        <v>102.64</v>
      </c>
      <c r="P3" s="413">
        <f t="shared" ref="P3" si="1">M3/O3</f>
        <v>0.86321122369446601</v>
      </c>
      <c r="Q3" s="412">
        <v>42</v>
      </c>
      <c r="R3" s="412">
        <v>9</v>
      </c>
      <c r="S3" s="445" t="s">
        <v>229</v>
      </c>
      <c r="T3" s="431">
        <f t="shared" ref="T3" si="2">SUM(U3:V3)</f>
        <v>1816085</v>
      </c>
      <c r="U3" s="445">
        <v>1242684</v>
      </c>
      <c r="V3" s="445">
        <v>573401</v>
      </c>
      <c r="W3" s="335">
        <f t="shared" ref="W3" si="3">V3/T3</f>
        <v>0.31573467100934155</v>
      </c>
    </row>
    <row r="4" spans="1:220" s="432" customFormat="1">
      <c r="A4" s="417">
        <v>2020</v>
      </c>
      <c r="B4" s="412">
        <v>9</v>
      </c>
      <c r="C4" s="412">
        <v>2.67</v>
      </c>
      <c r="D4" s="429">
        <f>B4+C4</f>
        <v>11.67</v>
      </c>
      <c r="E4" s="411">
        <f>ROUND((O4/B4),0)</f>
        <v>12</v>
      </c>
      <c r="F4" s="411">
        <f>ROUND((O4/D4), 0)</f>
        <v>9</v>
      </c>
      <c r="G4" s="412">
        <v>9</v>
      </c>
      <c r="H4" s="412">
        <v>3</v>
      </c>
      <c r="I4" s="412">
        <v>87</v>
      </c>
      <c r="J4" s="412">
        <v>13</v>
      </c>
      <c r="K4" s="429">
        <f>I4+J4</f>
        <v>100</v>
      </c>
      <c r="L4" s="412">
        <v>4.68</v>
      </c>
      <c r="M4" s="429">
        <f>I4+L4</f>
        <v>91.68</v>
      </c>
      <c r="N4" s="429" t="s">
        <v>166</v>
      </c>
      <c r="O4" s="412">
        <v>105.36</v>
      </c>
      <c r="P4" s="413">
        <f t="shared" ref="P4" si="4">M4/O4</f>
        <v>0.87015945330296129</v>
      </c>
      <c r="Q4" s="412">
        <v>34</v>
      </c>
      <c r="R4" s="412">
        <v>12</v>
      </c>
      <c r="S4" s="445">
        <v>1492761</v>
      </c>
      <c r="T4" s="431">
        <f>SUM(U4:V4)</f>
        <v>1755335</v>
      </c>
      <c r="U4" s="445">
        <v>1185208</v>
      </c>
      <c r="V4" s="445">
        <v>570127</v>
      </c>
      <c r="W4" s="335">
        <f t="shared" ref="W4" si="5">V4/T4</f>
        <v>0.3247966912298792</v>
      </c>
    </row>
    <row r="5" spans="1:220" s="433" customFormat="1">
      <c r="A5" s="417">
        <v>2019</v>
      </c>
      <c r="B5" s="428">
        <v>8</v>
      </c>
      <c r="C5" s="428">
        <v>1.33</v>
      </c>
      <c r="D5" s="429">
        <v>9.33</v>
      </c>
      <c r="E5" s="411">
        <f>ROUND((O5/B5),0)</f>
        <v>12</v>
      </c>
      <c r="F5" s="411">
        <f>ROUND((O5/D5), 0)</f>
        <v>11</v>
      </c>
      <c r="G5" s="428">
        <v>8</v>
      </c>
      <c r="H5" s="428">
        <v>1.33</v>
      </c>
      <c r="I5" s="428">
        <v>80</v>
      </c>
      <c r="J5" s="428">
        <v>14</v>
      </c>
      <c r="K5" s="429">
        <v>94</v>
      </c>
      <c r="L5" s="428">
        <v>5.04</v>
      </c>
      <c r="M5" s="429">
        <f>I5+L5</f>
        <v>85.04</v>
      </c>
      <c r="N5" s="429" t="s">
        <v>166</v>
      </c>
      <c r="O5" s="428">
        <v>99.08</v>
      </c>
      <c r="P5" s="413">
        <f t="shared" ref="P5" si="6">M5/O5</f>
        <v>0.85829632620104979</v>
      </c>
      <c r="Q5" s="428">
        <v>20</v>
      </c>
      <c r="R5" s="428">
        <v>4</v>
      </c>
      <c r="S5" s="430">
        <v>1280430</v>
      </c>
      <c r="T5" s="431">
        <f>SUM(U5:V5)</f>
        <v>2156709</v>
      </c>
      <c r="U5" s="430">
        <v>1338126</v>
      </c>
      <c r="V5" s="430">
        <v>818583</v>
      </c>
      <c r="W5" s="335">
        <f t="shared" ref="W5" si="7">V5/T5</f>
        <v>0.37955190060411487</v>
      </c>
      <c r="X5" s="432"/>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2"/>
      <c r="BA5" s="432"/>
      <c r="BB5" s="432"/>
      <c r="BC5" s="432"/>
    </row>
    <row r="6" spans="1:220" s="17" customFormat="1">
      <c r="A6" s="33">
        <v>2018</v>
      </c>
      <c r="B6" s="20">
        <v>7</v>
      </c>
      <c r="C6" s="20">
        <v>3.33</v>
      </c>
      <c r="D6" s="29">
        <f>SUM(B6:C6)</f>
        <v>10.33</v>
      </c>
      <c r="E6" s="172">
        <f>ROUND((O6/B6), 0)</f>
        <v>12</v>
      </c>
      <c r="F6" s="172">
        <f>ROUND((O6/D6), 0)</f>
        <v>8</v>
      </c>
      <c r="G6" s="20">
        <v>7</v>
      </c>
      <c r="H6" s="20">
        <v>1.67</v>
      </c>
      <c r="I6" s="20">
        <v>63</v>
      </c>
      <c r="J6" s="20">
        <v>15</v>
      </c>
      <c r="K6" s="29">
        <f>SUM(I6:J6)</f>
        <v>78</v>
      </c>
      <c r="L6" s="20">
        <v>5.4</v>
      </c>
      <c r="M6" s="172">
        <f>(I6+L6)</f>
        <v>68.400000000000006</v>
      </c>
      <c r="N6" s="394" t="s">
        <v>166</v>
      </c>
      <c r="O6" s="20">
        <v>80.599999999999994</v>
      </c>
      <c r="P6" s="183">
        <f>M6/O6</f>
        <v>0.84863523573201005</v>
      </c>
      <c r="Q6" s="20">
        <v>19</v>
      </c>
      <c r="R6" s="20">
        <v>18</v>
      </c>
      <c r="S6" s="24">
        <v>1505924</v>
      </c>
      <c r="T6" s="30">
        <f>SUM(U6:V6)</f>
        <v>1540676</v>
      </c>
      <c r="U6" s="24">
        <v>1336000</v>
      </c>
      <c r="V6" s="24">
        <v>204676</v>
      </c>
      <c r="W6" s="185">
        <f>V6/T6</f>
        <v>0.13284817833210877</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7" customFormat="1">
      <c r="A7" s="33">
        <v>2017</v>
      </c>
      <c r="B7" s="20">
        <v>8</v>
      </c>
      <c r="C7" s="20">
        <v>1.65</v>
      </c>
      <c r="D7" s="187">
        <f>B7+C7</f>
        <v>9.65</v>
      </c>
      <c r="E7" s="16">
        <f>ROUND((O7/B7), 0)</f>
        <v>9</v>
      </c>
      <c r="F7" s="16">
        <f>ROUND((O7/D7), 0)</f>
        <v>7</v>
      </c>
      <c r="G7" s="20">
        <v>8</v>
      </c>
      <c r="H7" s="20">
        <v>1.65</v>
      </c>
      <c r="I7" s="20">
        <v>44</v>
      </c>
      <c r="J7" s="20">
        <v>16</v>
      </c>
      <c r="K7" s="187">
        <f>I7+J7</f>
        <v>60</v>
      </c>
      <c r="L7" s="20">
        <v>8.67</v>
      </c>
      <c r="M7" s="16">
        <f>I7+L7</f>
        <v>52.67</v>
      </c>
      <c r="N7" s="87" t="s">
        <v>79</v>
      </c>
      <c r="O7" s="20">
        <v>68.67</v>
      </c>
      <c r="P7" s="183">
        <f t="shared" ref="P7:P22" si="8">M7/O7</f>
        <v>0.76700160186398714</v>
      </c>
      <c r="Q7" s="20">
        <v>16</v>
      </c>
      <c r="R7" s="20">
        <v>18</v>
      </c>
      <c r="S7" s="343">
        <v>1147371</v>
      </c>
      <c r="T7" s="188">
        <f>SUM(U7:V7)</f>
        <v>1342578</v>
      </c>
      <c r="U7" s="343">
        <v>1106036</v>
      </c>
      <c r="V7" s="343">
        <v>236542</v>
      </c>
      <c r="W7" s="185">
        <f t="shared" ref="W7:W22" si="9">V7/T7</f>
        <v>0.17618492184439191</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220" s="75" customFormat="1">
      <c r="A8" s="95">
        <v>2016</v>
      </c>
      <c r="B8" s="63">
        <v>9</v>
      </c>
      <c r="C8" s="63">
        <v>2.64</v>
      </c>
      <c r="D8" s="81">
        <f>B8+C8</f>
        <v>11.64</v>
      </c>
      <c r="E8" s="82">
        <f>ROUND((O8/B8), 0)</f>
        <v>6</v>
      </c>
      <c r="F8" s="82">
        <f>ROUND((O8/D8), 0)</f>
        <v>5</v>
      </c>
      <c r="G8" s="63">
        <v>7</v>
      </c>
      <c r="H8" s="63">
        <v>8</v>
      </c>
      <c r="I8" s="63">
        <v>35</v>
      </c>
      <c r="J8" s="63">
        <v>15</v>
      </c>
      <c r="K8" s="81">
        <f>I8+J8</f>
        <v>50</v>
      </c>
      <c r="L8" s="63">
        <v>5.4</v>
      </c>
      <c r="M8" s="82">
        <f>I8+L8</f>
        <v>40.4</v>
      </c>
      <c r="N8" s="87" t="s">
        <v>79</v>
      </c>
      <c r="O8" s="63">
        <v>58.33</v>
      </c>
      <c r="P8" s="183">
        <f t="shared" si="8"/>
        <v>0.69261100634321959</v>
      </c>
      <c r="Q8" s="63">
        <v>32</v>
      </c>
      <c r="R8" s="63">
        <v>7</v>
      </c>
      <c r="S8" s="74">
        <v>1021876</v>
      </c>
      <c r="T8" s="85">
        <f>SUM(U8:V8)</f>
        <v>1199096.48</v>
      </c>
      <c r="U8" s="74">
        <v>1074892</v>
      </c>
      <c r="V8" s="74">
        <v>124204.48</v>
      </c>
      <c r="W8" s="185">
        <f t="shared" si="9"/>
        <v>0.10358172346565474</v>
      </c>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row>
    <row r="9" spans="1:220" s="105" customFormat="1">
      <c r="A9" s="90">
        <v>2015</v>
      </c>
      <c r="B9" s="91">
        <v>7</v>
      </c>
      <c r="C9" s="91">
        <v>4.3</v>
      </c>
      <c r="D9" s="81">
        <v>11.3</v>
      </c>
      <c r="E9" s="81">
        <v>11.2</v>
      </c>
      <c r="F9" s="81">
        <v>6.9</v>
      </c>
      <c r="G9" s="111"/>
      <c r="H9" s="111"/>
      <c r="I9" s="91">
        <v>53</v>
      </c>
      <c r="J9" s="91">
        <v>10</v>
      </c>
      <c r="K9" s="81">
        <v>63</v>
      </c>
      <c r="L9" s="91">
        <v>5</v>
      </c>
      <c r="M9" s="81">
        <v>58</v>
      </c>
      <c r="N9" s="87" t="s">
        <v>79</v>
      </c>
      <c r="O9" s="91">
        <v>78.319999999999993</v>
      </c>
      <c r="P9" s="183">
        <f t="shared" si="8"/>
        <v>0.74055158324821257</v>
      </c>
      <c r="Q9" s="91">
        <v>41</v>
      </c>
      <c r="R9" s="91">
        <v>8</v>
      </c>
      <c r="S9" s="102">
        <v>1491684</v>
      </c>
      <c r="T9" s="103">
        <v>1519688</v>
      </c>
      <c r="U9" s="102">
        <v>1090457</v>
      </c>
      <c r="V9" s="102">
        <v>429231</v>
      </c>
      <c r="W9" s="185">
        <f t="shared" si="9"/>
        <v>0.2824467917098773</v>
      </c>
    </row>
    <row r="10" spans="1:220" s="168" customFormat="1">
      <c r="A10" s="90">
        <v>2014</v>
      </c>
      <c r="B10" s="91">
        <v>7</v>
      </c>
      <c r="C10" s="91">
        <v>1.3</v>
      </c>
      <c r="D10" s="81">
        <f>B10+C10</f>
        <v>8.3000000000000007</v>
      </c>
      <c r="E10" s="82">
        <f t="shared" ref="E10:E22" si="10">ROUND((O10/B10), 0)</f>
        <v>14</v>
      </c>
      <c r="F10" s="82">
        <f t="shared" ref="F10:F22" si="11">ROUND((O10/D10), 0)</f>
        <v>12</v>
      </c>
      <c r="G10" s="111"/>
      <c r="H10" s="111"/>
      <c r="I10" s="91">
        <v>76</v>
      </c>
      <c r="J10" s="91">
        <v>11</v>
      </c>
      <c r="K10" s="81">
        <f>I10+J10</f>
        <v>87</v>
      </c>
      <c r="L10" s="91">
        <v>2.66</v>
      </c>
      <c r="M10" s="82">
        <f>I10+L10</f>
        <v>78.66</v>
      </c>
      <c r="N10" s="87" t="s">
        <v>79</v>
      </c>
      <c r="O10" s="91">
        <v>97</v>
      </c>
      <c r="P10" s="183">
        <f t="shared" si="8"/>
        <v>0.81092783505154631</v>
      </c>
      <c r="Q10" s="91">
        <v>30</v>
      </c>
      <c r="R10" s="91">
        <v>8</v>
      </c>
      <c r="S10" s="92">
        <v>1404998</v>
      </c>
      <c r="T10" s="85">
        <f t="shared" ref="T10:T22" si="12">SUM(U10:V10)</f>
        <v>1308856</v>
      </c>
      <c r="U10" s="92">
        <v>828212</v>
      </c>
      <c r="V10" s="92">
        <v>480644</v>
      </c>
      <c r="W10" s="185">
        <f t="shared" si="9"/>
        <v>0.36722450750884744</v>
      </c>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row>
    <row r="11" spans="1:220" s="71" customFormat="1">
      <c r="A11" s="90">
        <v>2013</v>
      </c>
      <c r="B11" s="353">
        <v>8</v>
      </c>
      <c r="C11" s="353">
        <v>1.3</v>
      </c>
      <c r="D11" s="108">
        <f>B11+C11</f>
        <v>9.3000000000000007</v>
      </c>
      <c r="E11" s="109">
        <f t="shared" si="10"/>
        <v>12</v>
      </c>
      <c r="F11" s="109">
        <f t="shared" si="11"/>
        <v>11</v>
      </c>
      <c r="G11" s="113"/>
      <c r="H11" s="113"/>
      <c r="I11" s="353">
        <v>77</v>
      </c>
      <c r="J11" s="353">
        <v>8</v>
      </c>
      <c r="K11" s="108">
        <f>I11+J11</f>
        <v>85</v>
      </c>
      <c r="L11" s="353">
        <v>2.66</v>
      </c>
      <c r="M11" s="109">
        <f>I11+L11</f>
        <v>79.66</v>
      </c>
      <c r="N11" s="87" t="s">
        <v>79</v>
      </c>
      <c r="O11" s="353">
        <v>97.99</v>
      </c>
      <c r="P11" s="183">
        <f t="shared" si="8"/>
        <v>0.81294009592815597</v>
      </c>
      <c r="Q11" s="353">
        <v>56</v>
      </c>
      <c r="R11" s="353">
        <v>9</v>
      </c>
      <c r="S11" s="112">
        <v>1404382</v>
      </c>
      <c r="T11" s="110">
        <f t="shared" si="12"/>
        <v>1376092</v>
      </c>
      <c r="U11" s="112">
        <v>948585</v>
      </c>
      <c r="V11" s="112">
        <v>427507</v>
      </c>
      <c r="W11" s="185">
        <f t="shared" si="9"/>
        <v>0.31066745537362328</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row>
    <row r="12" spans="1:220" s="71" customFormat="1">
      <c r="A12" s="90">
        <v>2012</v>
      </c>
      <c r="B12" s="353">
        <v>7</v>
      </c>
      <c r="C12" s="353">
        <v>1.67</v>
      </c>
      <c r="D12" s="108">
        <f>B12+C12</f>
        <v>8.67</v>
      </c>
      <c r="E12" s="109">
        <f t="shared" si="10"/>
        <v>16</v>
      </c>
      <c r="F12" s="109">
        <f t="shared" si="11"/>
        <v>13</v>
      </c>
      <c r="G12" s="113"/>
      <c r="H12" s="113"/>
      <c r="I12" s="353">
        <v>89</v>
      </c>
      <c r="J12" s="353">
        <v>10</v>
      </c>
      <c r="K12" s="108">
        <f>I12+J12</f>
        <v>99</v>
      </c>
      <c r="L12" s="353">
        <v>4.66</v>
      </c>
      <c r="M12" s="109">
        <f>I12+L12</f>
        <v>93.66</v>
      </c>
      <c r="N12" s="87" t="s">
        <v>79</v>
      </c>
      <c r="O12" s="353">
        <v>109.99</v>
      </c>
      <c r="P12" s="183">
        <f t="shared" si="8"/>
        <v>0.85153195745067733</v>
      </c>
      <c r="Q12" s="353">
        <v>47</v>
      </c>
      <c r="R12" s="353">
        <v>2</v>
      </c>
      <c r="S12" s="112">
        <v>1334999</v>
      </c>
      <c r="T12" s="110">
        <f t="shared" si="12"/>
        <v>1142131</v>
      </c>
      <c r="U12" s="112">
        <v>1003033</v>
      </c>
      <c r="V12" s="112">
        <v>139098</v>
      </c>
      <c r="W12" s="185">
        <f t="shared" si="9"/>
        <v>0.12178813113381914</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row>
    <row r="13" spans="1:220" s="71" customFormat="1">
      <c r="A13" s="90" t="s">
        <v>81</v>
      </c>
      <c r="B13" s="353">
        <v>7</v>
      </c>
      <c r="C13" s="353">
        <v>1</v>
      </c>
      <c r="D13" s="108">
        <f t="shared" ref="D13:D22" si="13">SUM(B13:C13)</f>
        <v>8</v>
      </c>
      <c r="E13" s="109">
        <f t="shared" si="10"/>
        <v>47</v>
      </c>
      <c r="F13" s="109">
        <f t="shared" si="11"/>
        <v>41</v>
      </c>
      <c r="G13" s="113"/>
      <c r="H13" s="113"/>
      <c r="I13" s="353">
        <v>105</v>
      </c>
      <c r="J13" s="353">
        <v>10</v>
      </c>
      <c r="K13" s="108">
        <f t="shared" ref="K13:K22" si="14">SUM(I13:J13)</f>
        <v>115</v>
      </c>
      <c r="L13" s="353">
        <v>6.66</v>
      </c>
      <c r="M13" s="109">
        <f t="shared" ref="M13:M22" si="15">(I13+L13)</f>
        <v>111.66</v>
      </c>
      <c r="N13" s="87" t="s">
        <v>79</v>
      </c>
      <c r="O13" s="353">
        <v>327.65999999999997</v>
      </c>
      <c r="P13" s="183">
        <f t="shared" si="8"/>
        <v>0.34078007690899104</v>
      </c>
      <c r="Q13" s="353">
        <v>53</v>
      </c>
      <c r="R13" s="353">
        <v>0</v>
      </c>
      <c r="S13" s="112">
        <v>1363382</v>
      </c>
      <c r="T13" s="110">
        <f t="shared" si="12"/>
        <v>1466967</v>
      </c>
      <c r="U13" s="112">
        <v>1248937</v>
      </c>
      <c r="V13" s="112">
        <v>218030</v>
      </c>
      <c r="W13" s="185">
        <f t="shared" si="9"/>
        <v>0.14862638355191357</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row>
    <row r="14" spans="1:220" s="71" customFormat="1">
      <c r="A14" s="90" t="s">
        <v>82</v>
      </c>
      <c r="B14" s="353">
        <v>7</v>
      </c>
      <c r="C14" s="353">
        <v>2</v>
      </c>
      <c r="D14" s="108">
        <f t="shared" si="13"/>
        <v>9</v>
      </c>
      <c r="E14" s="109">
        <f t="shared" si="10"/>
        <v>32</v>
      </c>
      <c r="F14" s="109">
        <f t="shared" si="11"/>
        <v>25</v>
      </c>
      <c r="G14" s="113"/>
      <c r="H14" s="113"/>
      <c r="I14" s="353">
        <v>106</v>
      </c>
      <c r="J14" s="353">
        <v>12</v>
      </c>
      <c r="K14" s="108">
        <f t="shared" si="14"/>
        <v>118</v>
      </c>
      <c r="L14" s="353">
        <v>4.25</v>
      </c>
      <c r="M14" s="109">
        <f t="shared" si="15"/>
        <v>110.25</v>
      </c>
      <c r="N14" s="87" t="s">
        <v>79</v>
      </c>
      <c r="O14" s="353">
        <v>226.25</v>
      </c>
      <c r="P14" s="183">
        <f t="shared" si="8"/>
        <v>0.48729281767955801</v>
      </c>
      <c r="Q14" s="353">
        <v>50</v>
      </c>
      <c r="R14" s="353">
        <v>0</v>
      </c>
      <c r="S14" s="112">
        <v>1216064</v>
      </c>
      <c r="T14" s="110">
        <f t="shared" si="12"/>
        <v>1216064</v>
      </c>
      <c r="U14" s="112">
        <v>1043674</v>
      </c>
      <c r="V14" s="112">
        <v>172390</v>
      </c>
      <c r="W14" s="185">
        <f t="shared" si="9"/>
        <v>0.14176063101942002</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row>
    <row r="15" spans="1:220" s="71" customFormat="1">
      <c r="A15" s="90" t="s">
        <v>83</v>
      </c>
      <c r="B15" s="353">
        <v>7</v>
      </c>
      <c r="C15" s="353">
        <v>2</v>
      </c>
      <c r="D15" s="108">
        <f t="shared" si="13"/>
        <v>9</v>
      </c>
      <c r="E15" s="109">
        <f t="shared" si="10"/>
        <v>37</v>
      </c>
      <c r="F15" s="109">
        <f t="shared" si="11"/>
        <v>28</v>
      </c>
      <c r="G15" s="113"/>
      <c r="H15" s="113"/>
      <c r="I15" s="353">
        <v>110</v>
      </c>
      <c r="J15" s="353">
        <v>16</v>
      </c>
      <c r="K15" s="108">
        <f t="shared" si="14"/>
        <v>126</v>
      </c>
      <c r="L15" s="353">
        <v>7.5</v>
      </c>
      <c r="M15" s="109">
        <f t="shared" si="15"/>
        <v>117.5</v>
      </c>
      <c r="N15" s="87" t="s">
        <v>79</v>
      </c>
      <c r="O15" s="353">
        <v>255.5</v>
      </c>
      <c r="P15" s="183">
        <f t="shared" si="8"/>
        <v>0.45988258317025438</v>
      </c>
      <c r="Q15" s="353">
        <v>56</v>
      </c>
      <c r="R15" s="353">
        <v>0</v>
      </c>
      <c r="S15" s="112">
        <v>1217042</v>
      </c>
      <c r="T15" s="110">
        <f t="shared" si="12"/>
        <v>1217042</v>
      </c>
      <c r="U15" s="112">
        <v>972298</v>
      </c>
      <c r="V15" s="112">
        <v>244744</v>
      </c>
      <c r="W15" s="185">
        <f t="shared" si="9"/>
        <v>0.20109741487968369</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row>
    <row r="16" spans="1:220" s="71" customFormat="1">
      <c r="A16" s="90" t="s">
        <v>84</v>
      </c>
      <c r="B16" s="353">
        <v>7</v>
      </c>
      <c r="C16" s="353">
        <v>1.66</v>
      </c>
      <c r="D16" s="108">
        <f t="shared" si="13"/>
        <v>8.66</v>
      </c>
      <c r="E16" s="109">
        <f t="shared" si="10"/>
        <v>43</v>
      </c>
      <c r="F16" s="109">
        <f t="shared" si="11"/>
        <v>35</v>
      </c>
      <c r="G16" s="113"/>
      <c r="H16" s="113"/>
      <c r="I16" s="353">
        <v>115</v>
      </c>
      <c r="J16" s="353">
        <v>16</v>
      </c>
      <c r="K16" s="108">
        <f t="shared" si="14"/>
        <v>131</v>
      </c>
      <c r="L16" s="353">
        <v>10.25</v>
      </c>
      <c r="M16" s="109">
        <f t="shared" si="15"/>
        <v>125.25</v>
      </c>
      <c r="N16" s="87" t="s">
        <v>79</v>
      </c>
      <c r="O16" s="353">
        <v>301</v>
      </c>
      <c r="P16" s="183">
        <f t="shared" si="8"/>
        <v>0.41611295681063121</v>
      </c>
      <c r="Q16" s="353">
        <v>50</v>
      </c>
      <c r="R16" s="353">
        <v>0</v>
      </c>
      <c r="S16" s="112">
        <v>1084317</v>
      </c>
      <c r="T16" s="110">
        <f t="shared" si="12"/>
        <v>1084317</v>
      </c>
      <c r="U16" s="112">
        <v>933851</v>
      </c>
      <c r="V16" s="112">
        <v>150466</v>
      </c>
      <c r="W16" s="185">
        <f t="shared" si="9"/>
        <v>0.13876569305839528</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row>
    <row r="17" spans="1:55" s="71" customFormat="1">
      <c r="A17" s="90">
        <v>2007</v>
      </c>
      <c r="B17" s="353">
        <v>7</v>
      </c>
      <c r="C17" s="353">
        <v>1.3</v>
      </c>
      <c r="D17" s="194">
        <f t="shared" si="13"/>
        <v>8.3000000000000007</v>
      </c>
      <c r="E17" s="109">
        <f t="shared" si="10"/>
        <v>40</v>
      </c>
      <c r="F17" s="109">
        <f t="shared" si="11"/>
        <v>34</v>
      </c>
      <c r="G17" s="113"/>
      <c r="H17" s="113"/>
      <c r="I17" s="353">
        <v>113</v>
      </c>
      <c r="J17" s="353">
        <v>12</v>
      </c>
      <c r="K17" s="194">
        <f t="shared" si="14"/>
        <v>125</v>
      </c>
      <c r="L17" s="353">
        <v>7</v>
      </c>
      <c r="M17" s="194">
        <f t="shared" si="15"/>
        <v>120</v>
      </c>
      <c r="N17" s="87" t="s">
        <v>79</v>
      </c>
      <c r="O17" s="353">
        <v>283</v>
      </c>
      <c r="P17" s="183">
        <f t="shared" si="8"/>
        <v>0.42402826855123676</v>
      </c>
      <c r="Q17" s="353">
        <v>45</v>
      </c>
      <c r="R17" s="353">
        <v>0</v>
      </c>
      <c r="S17" s="192">
        <v>1000648</v>
      </c>
      <c r="T17" s="110">
        <f t="shared" si="12"/>
        <v>1000648</v>
      </c>
      <c r="U17" s="192">
        <v>881172</v>
      </c>
      <c r="V17" s="192">
        <v>119476</v>
      </c>
      <c r="W17" s="185">
        <f t="shared" si="9"/>
        <v>0.11939862968796221</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row>
    <row r="18" spans="1:55" s="71" customFormat="1">
      <c r="A18" s="90">
        <v>2006</v>
      </c>
      <c r="B18" s="353">
        <v>7</v>
      </c>
      <c r="C18" s="353">
        <v>0.5</v>
      </c>
      <c r="D18" s="194">
        <f t="shared" si="13"/>
        <v>7.5</v>
      </c>
      <c r="E18" s="109">
        <f t="shared" si="10"/>
        <v>34</v>
      </c>
      <c r="F18" s="109">
        <f t="shared" si="11"/>
        <v>32</v>
      </c>
      <c r="G18" s="113"/>
      <c r="H18" s="113"/>
      <c r="I18" s="353">
        <v>99</v>
      </c>
      <c r="J18" s="353">
        <v>15</v>
      </c>
      <c r="K18" s="194">
        <f t="shared" si="14"/>
        <v>114</v>
      </c>
      <c r="L18" s="353">
        <v>6</v>
      </c>
      <c r="M18" s="194">
        <f t="shared" si="15"/>
        <v>105</v>
      </c>
      <c r="N18" s="87" t="s">
        <v>79</v>
      </c>
      <c r="O18" s="353">
        <v>237</v>
      </c>
      <c r="P18" s="183">
        <f t="shared" si="8"/>
        <v>0.44303797468354428</v>
      </c>
      <c r="Q18" s="353">
        <v>44</v>
      </c>
      <c r="R18" s="353">
        <v>0</v>
      </c>
      <c r="S18" s="192">
        <v>952589</v>
      </c>
      <c r="T18" s="110">
        <f t="shared" si="12"/>
        <v>952589</v>
      </c>
      <c r="U18" s="192">
        <v>814273</v>
      </c>
      <c r="V18" s="192">
        <v>138316</v>
      </c>
      <c r="W18" s="185">
        <f t="shared" si="9"/>
        <v>0.14520008104229631</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row>
    <row r="19" spans="1:55" s="71" customFormat="1">
      <c r="A19" s="90">
        <v>2005</v>
      </c>
      <c r="B19" s="353">
        <v>7</v>
      </c>
      <c r="C19" s="353">
        <v>0.5</v>
      </c>
      <c r="D19" s="194">
        <f t="shared" si="13"/>
        <v>7.5</v>
      </c>
      <c r="E19" s="109">
        <f t="shared" si="10"/>
        <v>37</v>
      </c>
      <c r="F19" s="109">
        <f t="shared" si="11"/>
        <v>34</v>
      </c>
      <c r="G19" s="113"/>
      <c r="H19" s="113"/>
      <c r="I19" s="353">
        <v>85</v>
      </c>
      <c r="J19" s="353">
        <v>16</v>
      </c>
      <c r="K19" s="194">
        <f t="shared" si="14"/>
        <v>101</v>
      </c>
      <c r="L19" s="353">
        <v>3</v>
      </c>
      <c r="M19" s="194">
        <f t="shared" si="15"/>
        <v>88</v>
      </c>
      <c r="N19" s="87" t="s">
        <v>79</v>
      </c>
      <c r="O19" s="353">
        <v>256</v>
      </c>
      <c r="P19" s="183">
        <f t="shared" si="8"/>
        <v>0.34375</v>
      </c>
      <c r="Q19" s="353">
        <v>41</v>
      </c>
      <c r="R19" s="353">
        <v>0</v>
      </c>
      <c r="S19" s="192">
        <v>867929</v>
      </c>
      <c r="T19" s="110">
        <f t="shared" si="12"/>
        <v>867929</v>
      </c>
      <c r="U19" s="192">
        <v>729209</v>
      </c>
      <c r="V19" s="192">
        <v>138720</v>
      </c>
      <c r="W19" s="185">
        <f t="shared" si="9"/>
        <v>0.1598287417519175</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row>
    <row r="20" spans="1:55" s="71" customFormat="1">
      <c r="A20" s="90">
        <v>2004</v>
      </c>
      <c r="B20" s="195">
        <v>6</v>
      </c>
      <c r="C20" s="195">
        <v>1.5</v>
      </c>
      <c r="D20" s="194">
        <f t="shared" si="13"/>
        <v>7.5</v>
      </c>
      <c r="E20" s="109">
        <f t="shared" si="10"/>
        <v>43</v>
      </c>
      <c r="F20" s="109">
        <f t="shared" si="11"/>
        <v>34</v>
      </c>
      <c r="G20" s="113"/>
      <c r="H20" s="113"/>
      <c r="I20" s="195">
        <v>87</v>
      </c>
      <c r="J20" s="195">
        <v>14</v>
      </c>
      <c r="K20" s="194">
        <f t="shared" si="14"/>
        <v>101</v>
      </c>
      <c r="L20" s="195">
        <v>5</v>
      </c>
      <c r="M20" s="194">
        <f t="shared" si="15"/>
        <v>92</v>
      </c>
      <c r="N20" s="87" t="s">
        <v>79</v>
      </c>
      <c r="O20" s="195">
        <v>258</v>
      </c>
      <c r="P20" s="183">
        <f t="shared" si="8"/>
        <v>0.35658914728682173</v>
      </c>
      <c r="Q20" s="195">
        <v>37</v>
      </c>
      <c r="R20" s="353">
        <v>0</v>
      </c>
      <c r="S20" s="192">
        <v>828389</v>
      </c>
      <c r="T20" s="110">
        <f t="shared" si="12"/>
        <v>828389</v>
      </c>
      <c r="U20" s="192">
        <v>667072</v>
      </c>
      <c r="V20" s="192">
        <v>161317</v>
      </c>
      <c r="W20" s="185">
        <f t="shared" si="9"/>
        <v>0.19473580648704897</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row>
    <row r="21" spans="1:55" s="71" customFormat="1">
      <c r="A21" s="90">
        <v>2003</v>
      </c>
      <c r="B21" s="195">
        <v>6</v>
      </c>
      <c r="C21" s="195">
        <v>1</v>
      </c>
      <c r="D21" s="194">
        <f t="shared" si="13"/>
        <v>7</v>
      </c>
      <c r="E21" s="109">
        <f t="shared" si="10"/>
        <v>30</v>
      </c>
      <c r="F21" s="109">
        <f t="shared" si="11"/>
        <v>26</v>
      </c>
      <c r="G21" s="113"/>
      <c r="H21" s="113"/>
      <c r="I21" s="195">
        <v>78</v>
      </c>
      <c r="J21" s="195">
        <v>16</v>
      </c>
      <c r="K21" s="194">
        <f t="shared" si="14"/>
        <v>94</v>
      </c>
      <c r="L21" s="195">
        <v>8</v>
      </c>
      <c r="M21" s="194">
        <f t="shared" si="15"/>
        <v>86</v>
      </c>
      <c r="N21" s="87" t="s">
        <v>79</v>
      </c>
      <c r="O21" s="195">
        <v>182</v>
      </c>
      <c r="P21" s="183">
        <f t="shared" si="8"/>
        <v>0.47252747252747251</v>
      </c>
      <c r="Q21" s="195">
        <v>38</v>
      </c>
      <c r="R21" s="353">
        <v>0</v>
      </c>
      <c r="S21" s="192">
        <v>763970</v>
      </c>
      <c r="T21" s="110">
        <f t="shared" si="12"/>
        <v>763970</v>
      </c>
      <c r="U21" s="192">
        <v>587357</v>
      </c>
      <c r="V21" s="192">
        <v>176613</v>
      </c>
      <c r="W21" s="185">
        <f t="shared" si="9"/>
        <v>0.23117792583478408</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row>
    <row r="22" spans="1:55" s="71" customFormat="1" ht="15" customHeight="1">
      <c r="A22" s="90">
        <v>2002</v>
      </c>
      <c r="B22" s="195">
        <v>7</v>
      </c>
      <c r="C22" s="195">
        <f>ROUND(0.5, 0)</f>
        <v>1</v>
      </c>
      <c r="D22" s="194">
        <f t="shared" si="13"/>
        <v>8</v>
      </c>
      <c r="E22" s="109">
        <f t="shared" si="10"/>
        <v>28</v>
      </c>
      <c r="F22" s="109">
        <f t="shared" si="11"/>
        <v>24</v>
      </c>
      <c r="G22" s="113"/>
      <c r="H22" s="113"/>
      <c r="I22" s="195">
        <v>79</v>
      </c>
      <c r="J22" s="195">
        <v>18</v>
      </c>
      <c r="K22" s="194">
        <f t="shared" si="14"/>
        <v>97</v>
      </c>
      <c r="L22" s="195">
        <f>ROUND(4.5, 0)</f>
        <v>5</v>
      </c>
      <c r="M22" s="194">
        <f t="shared" si="15"/>
        <v>84</v>
      </c>
      <c r="N22" s="87" t="s">
        <v>79</v>
      </c>
      <c r="O22" s="195">
        <f>ROUND(193.5, 0)</f>
        <v>194</v>
      </c>
      <c r="P22" s="183">
        <f t="shared" si="8"/>
        <v>0.4329896907216495</v>
      </c>
      <c r="Q22" s="195">
        <v>30</v>
      </c>
      <c r="R22" s="353">
        <v>0</v>
      </c>
      <c r="S22" s="192">
        <v>673643</v>
      </c>
      <c r="T22" s="110">
        <f t="shared" si="12"/>
        <v>673643</v>
      </c>
      <c r="U22" s="192">
        <v>535838</v>
      </c>
      <c r="V22" s="192">
        <v>137805</v>
      </c>
      <c r="W22" s="185">
        <f t="shared" si="9"/>
        <v>0.2045668106103678</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row>
    <row r="23" spans="1:55" s="13" customFormat="1">
      <c r="A23" s="672" t="s">
        <v>140</v>
      </c>
      <c r="B23" s="657"/>
      <c r="C23" s="657"/>
      <c r="D23" s="657"/>
      <c r="E23" s="657"/>
      <c r="F23" s="657"/>
      <c r="G23" s="657"/>
      <c r="H23" s="657"/>
      <c r="I23" s="657"/>
      <c r="J23" s="657"/>
      <c r="K23" s="657"/>
      <c r="L23" s="657"/>
      <c r="M23" s="657"/>
      <c r="N23" s="657"/>
      <c r="O23" s="657"/>
      <c r="P23" s="657"/>
      <c r="Q23" s="657"/>
      <c r="R23" s="657"/>
      <c r="S23" s="657"/>
      <c r="T23" s="657"/>
      <c r="U23" s="657"/>
      <c r="V23" s="657"/>
      <c r="W23" s="657"/>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row>
    <row r="24" spans="1:55" s="13" customFormat="1">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row>
    <row r="25" spans="1:55" s="13" customFormat="1">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row>
    <row r="26" spans="1:55" s="76" customFormat="1">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row>
    <row r="27" spans="1:55" s="76" customFormat="1">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row>
    <row r="28" spans="1:55" s="76" customFormat="1">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row>
    <row r="29" spans="1:55" s="76" customFormat="1">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row>
    <row r="30" spans="1:55" s="76" customFormat="1">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row>
    <row r="31" spans="1:55" s="76" customFormat="1">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row>
    <row r="32" spans="1:55" s="76" customFormat="1">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row>
    <row r="33" spans="24:55" s="76" customFormat="1">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row>
    <row r="34" spans="24:55" s="76" customFormat="1">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row>
  </sheetData>
  <mergeCells count="1">
    <mergeCell ref="A23:W23"/>
  </mergeCells>
  <printOptions headings="1" gridLines="1"/>
  <pageMargins left="0.5" right="0.5" top="0.5" bottom="0.5" header="0" footer="0"/>
  <pageSetup paperSize="5" scale="67"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L34"/>
  <sheetViews>
    <sheetView zoomScaleNormal="100" workbookViewId="0">
      <selection activeCell="A3" sqref="A3:XFD3"/>
    </sheetView>
  </sheetViews>
  <sheetFormatPr defaultColWidth="8.85546875" defaultRowHeight="15"/>
  <cols>
    <col min="1" max="1" width="11.140625" customWidth="1"/>
    <col min="2" max="2" width="10.140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8.85546875" bestFit="1" customWidth="1"/>
    <col min="10" max="11" width="11.85546875" bestFit="1" customWidth="1"/>
    <col min="12" max="12" width="12.42578125" bestFit="1" customWidth="1"/>
    <col min="13" max="13" width="13.140625" bestFit="1" customWidth="1"/>
    <col min="14" max="14" width="10.5703125" customWidth="1"/>
    <col min="15" max="15" width="13.42578125" bestFit="1" customWidth="1"/>
    <col min="16" max="16" width="14.42578125" customWidth="1"/>
    <col min="17" max="17" width="12.42578125" bestFit="1" customWidth="1"/>
    <col min="18" max="18" width="9" bestFit="1" customWidth="1"/>
    <col min="19" max="19" width="11.85546875" bestFit="1" customWidth="1"/>
    <col min="20" max="20" width="12.85546875" bestFit="1" customWidth="1"/>
    <col min="21" max="21" width="12.140625" customWidth="1"/>
    <col min="22" max="22" width="10.85546875" bestFit="1" customWidth="1"/>
    <col min="23" max="23" width="12.85546875" bestFit="1" customWidth="1"/>
    <col min="24" max="57" width="8.85546875" style="376"/>
  </cols>
  <sheetData>
    <row r="1" spans="1:220" s="1" customFormat="1" ht="18.75">
      <c r="A1" s="1" t="s">
        <v>58</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row>
    <row r="3" spans="1:220" s="433" customFormat="1">
      <c r="A3" s="417">
        <v>2021</v>
      </c>
      <c r="B3" s="412">
        <v>6</v>
      </c>
      <c r="C3" s="412">
        <v>12</v>
      </c>
      <c r="D3" s="437">
        <f t="shared" ref="D3" si="0">SUM(B3:C3)</f>
        <v>18</v>
      </c>
      <c r="E3" s="427">
        <f t="shared" ref="E3" si="1">ROUND((O3/B3), 0)</f>
        <v>32</v>
      </c>
      <c r="F3" s="427">
        <f t="shared" ref="F3" si="2">ROUND((O3/D3), 0)</f>
        <v>11</v>
      </c>
      <c r="G3" s="412">
        <v>6</v>
      </c>
      <c r="H3" s="412">
        <v>12</v>
      </c>
      <c r="I3" s="412">
        <v>74</v>
      </c>
      <c r="J3" s="412">
        <v>169</v>
      </c>
      <c r="K3" s="437">
        <f t="shared" ref="K3" si="3">SUM(I3:J3)</f>
        <v>243</v>
      </c>
      <c r="L3" s="412">
        <v>120.625</v>
      </c>
      <c r="M3" s="427">
        <f t="shared" ref="M3" si="4">(I3+L3)</f>
        <v>194.625</v>
      </c>
      <c r="N3" s="412">
        <v>76</v>
      </c>
      <c r="O3" s="412">
        <v>194.625</v>
      </c>
      <c r="P3" s="438">
        <f t="shared" ref="P3" si="5">M3/O3</f>
        <v>1</v>
      </c>
      <c r="Q3" s="412">
        <v>57</v>
      </c>
      <c r="R3" s="412">
        <v>0</v>
      </c>
      <c r="S3" s="414">
        <v>7232020</v>
      </c>
      <c r="T3" s="439">
        <f t="shared" ref="T3" si="6">SUM(U3:V3)</f>
        <v>5573999</v>
      </c>
      <c r="U3" s="414">
        <v>5452399</v>
      </c>
      <c r="V3" s="414">
        <v>121600</v>
      </c>
      <c r="W3" s="335">
        <f t="shared" ref="W3" si="7">V3/T3</f>
        <v>2.1815576213773988E-2</v>
      </c>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row>
    <row r="4" spans="1:220" s="433" customFormat="1">
      <c r="A4" s="417">
        <v>2020</v>
      </c>
      <c r="B4" s="412">
        <v>6</v>
      </c>
      <c r="C4" s="412">
        <v>10.67</v>
      </c>
      <c r="D4" s="437">
        <f>SUM(B4:C4)</f>
        <v>16.670000000000002</v>
      </c>
      <c r="E4" s="427">
        <f>ROUND((O4/B4), 0)</f>
        <v>27</v>
      </c>
      <c r="F4" s="427">
        <f>ROUND((O4/D4), 0)</f>
        <v>10</v>
      </c>
      <c r="G4" s="412">
        <v>6</v>
      </c>
      <c r="H4" s="412">
        <v>10.67</v>
      </c>
      <c r="I4" s="412">
        <v>71</v>
      </c>
      <c r="J4" s="412">
        <v>132</v>
      </c>
      <c r="K4" s="437">
        <f t="shared" ref="K4" si="8">SUM(I4:J4)</f>
        <v>203</v>
      </c>
      <c r="L4" s="412">
        <v>93.625</v>
      </c>
      <c r="M4" s="427">
        <f>(I4+L4)</f>
        <v>164.625</v>
      </c>
      <c r="N4" s="412">
        <v>70</v>
      </c>
      <c r="O4" s="412">
        <v>164.625</v>
      </c>
      <c r="P4" s="438">
        <f t="shared" ref="P4" si="9">M4/O4</f>
        <v>1</v>
      </c>
      <c r="Q4" s="412">
        <v>29</v>
      </c>
      <c r="R4" s="412">
        <v>0</v>
      </c>
      <c r="S4" s="414">
        <v>6140602.6191650638</v>
      </c>
      <c r="T4" s="439">
        <f>SUM(U4:V4)</f>
        <v>4126617.62</v>
      </c>
      <c r="U4" s="414">
        <v>4049426.62</v>
      </c>
      <c r="V4" s="414">
        <v>77191</v>
      </c>
      <c r="W4" s="335">
        <f t="shared" ref="W4" si="10">V4/T4</f>
        <v>1.8705634276819667E-2</v>
      </c>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row>
    <row r="5" spans="1:220" s="17" customFormat="1">
      <c r="A5" s="11">
        <v>2019</v>
      </c>
      <c r="B5" s="409">
        <v>5</v>
      </c>
      <c r="C5" s="409">
        <v>7.83</v>
      </c>
      <c r="D5" s="410">
        <f>SUM(B5:C5)</f>
        <v>12.83</v>
      </c>
      <c r="E5" s="411">
        <f>ROUND((O5/B5), 0)</f>
        <v>24</v>
      </c>
      <c r="F5" s="411">
        <f>ROUND((O5/D5), 0)</f>
        <v>9</v>
      </c>
      <c r="G5" s="409">
        <v>5</v>
      </c>
      <c r="H5" s="409">
        <v>7.83</v>
      </c>
      <c r="I5" s="409">
        <v>50</v>
      </c>
      <c r="J5" s="409">
        <v>96</v>
      </c>
      <c r="K5" s="410">
        <f t="shared" ref="K5" si="11">SUM(I5:J5)</f>
        <v>146</v>
      </c>
      <c r="L5" s="409">
        <v>67.625</v>
      </c>
      <c r="M5" s="411">
        <f>(I5+L5)</f>
        <v>117.625</v>
      </c>
      <c r="N5" s="409">
        <v>46</v>
      </c>
      <c r="O5" s="409">
        <v>117.625</v>
      </c>
      <c r="P5" s="413">
        <f t="shared" ref="P5" si="12">M5/O5</f>
        <v>1</v>
      </c>
      <c r="Q5" s="409">
        <v>32</v>
      </c>
      <c r="R5" s="409">
        <v>0</v>
      </c>
      <c r="S5" s="414">
        <v>3277208</v>
      </c>
      <c r="T5" s="415">
        <f>SUM(U5:V5)</f>
        <v>3295181</v>
      </c>
      <c r="U5" s="414">
        <v>3164969</v>
      </c>
      <c r="V5" s="414">
        <v>130212</v>
      </c>
      <c r="W5" s="335">
        <f t="shared" ref="W5" si="13">V5/T5</f>
        <v>3.9515886987695065E-2</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5</v>
      </c>
      <c r="C6" s="20">
        <v>3.5</v>
      </c>
      <c r="D6" s="29">
        <f>SUM(B6:C6)</f>
        <v>8.5</v>
      </c>
      <c r="E6" s="172">
        <f>ROUND((O6/B6), 0)</f>
        <v>15</v>
      </c>
      <c r="F6" s="172">
        <f>ROUND((O6/D6), 0)</f>
        <v>9</v>
      </c>
      <c r="G6" s="20">
        <v>5</v>
      </c>
      <c r="H6" s="20">
        <v>3.5</v>
      </c>
      <c r="I6" s="20">
        <v>63</v>
      </c>
      <c r="J6" s="20">
        <v>25</v>
      </c>
      <c r="K6" s="29">
        <f t="shared" ref="K6" si="14">SUM(I6:J6)</f>
        <v>88</v>
      </c>
      <c r="L6" s="20">
        <v>16.25</v>
      </c>
      <c r="M6" s="172">
        <f>(I6+L6)</f>
        <v>79.25</v>
      </c>
      <c r="N6" s="20">
        <v>20</v>
      </c>
      <c r="O6" s="20">
        <v>77.375</v>
      </c>
      <c r="P6" s="183">
        <f>M6/O6</f>
        <v>1.0242326332794831</v>
      </c>
      <c r="Q6" s="20">
        <v>29</v>
      </c>
      <c r="R6" s="20">
        <v>0</v>
      </c>
      <c r="S6" s="24">
        <v>2807697</v>
      </c>
      <c r="T6" s="30">
        <f>SUM(U6:V6)</f>
        <v>2817412</v>
      </c>
      <c r="U6" s="24">
        <v>2742786</v>
      </c>
      <c r="V6" s="24">
        <v>74626</v>
      </c>
      <c r="W6" s="185">
        <f>V6/T6</f>
        <v>2.6487428888639645E-2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7" customFormat="1">
      <c r="A7" s="33">
        <v>2017</v>
      </c>
      <c r="B7" s="20">
        <v>4</v>
      </c>
      <c r="C7" s="20">
        <v>2.9</v>
      </c>
      <c r="D7" s="29">
        <f>SUM(B7:C7)</f>
        <v>6.9</v>
      </c>
      <c r="E7" s="172">
        <f>ROUND((O7/B7), 0)</f>
        <v>22</v>
      </c>
      <c r="F7" s="172">
        <f>ROUND((O7/D7), 0)</f>
        <v>13</v>
      </c>
      <c r="G7" s="20">
        <v>4</v>
      </c>
      <c r="H7" s="20">
        <v>2.9</v>
      </c>
      <c r="I7" s="20">
        <v>86</v>
      </c>
      <c r="J7" s="20">
        <v>5</v>
      </c>
      <c r="K7" s="29">
        <f>SUM(I7:J7)</f>
        <v>91</v>
      </c>
      <c r="L7" s="20">
        <v>2.5</v>
      </c>
      <c r="M7" s="218">
        <f>(I7+L7)</f>
        <v>88.5</v>
      </c>
      <c r="N7" s="20">
        <v>15</v>
      </c>
      <c r="O7" s="20">
        <v>88.5</v>
      </c>
      <c r="P7" s="183">
        <f t="shared" ref="P7:P22" si="15">M7/O7</f>
        <v>1</v>
      </c>
      <c r="Q7" s="20">
        <v>44</v>
      </c>
      <c r="R7" s="20">
        <v>0</v>
      </c>
      <c r="S7" s="24">
        <v>2882244</v>
      </c>
      <c r="T7" s="30">
        <f>SUM(U7:V7)</f>
        <v>2836906</v>
      </c>
      <c r="U7" s="24">
        <v>2798295</v>
      </c>
      <c r="V7" s="24">
        <v>38611</v>
      </c>
      <c r="W7" s="185">
        <f t="shared" ref="W7:W22" si="16">V7/T7</f>
        <v>1.3610250040008376E-2</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row>
    <row r="8" spans="1:220" s="75" customFormat="1">
      <c r="A8" s="95">
        <v>2016</v>
      </c>
      <c r="B8" s="63">
        <v>5</v>
      </c>
      <c r="C8" s="63">
        <v>4.0999999999999996</v>
      </c>
      <c r="D8" s="108">
        <f>SUM(B8:C8)</f>
        <v>9.1</v>
      </c>
      <c r="E8" s="109">
        <f>ROUND((O8/B8), 0)</f>
        <v>17</v>
      </c>
      <c r="F8" s="109">
        <f>ROUND((O8/D8), 0)</f>
        <v>9</v>
      </c>
      <c r="G8" s="63">
        <v>5</v>
      </c>
      <c r="H8" s="63">
        <v>4.0999999999999996</v>
      </c>
      <c r="I8" s="63">
        <v>84</v>
      </c>
      <c r="J8" s="63">
        <v>5</v>
      </c>
      <c r="K8" s="108">
        <f>SUM(I8:J8)</f>
        <v>89</v>
      </c>
      <c r="L8" s="63">
        <v>1.8</v>
      </c>
      <c r="M8" s="219">
        <f>(I8+L8)</f>
        <v>85.8</v>
      </c>
      <c r="N8" s="63">
        <v>20</v>
      </c>
      <c r="O8" s="63">
        <v>85.8</v>
      </c>
      <c r="P8" s="183">
        <f t="shared" si="15"/>
        <v>1</v>
      </c>
      <c r="Q8" s="63">
        <v>20</v>
      </c>
      <c r="R8" s="63">
        <v>0</v>
      </c>
      <c r="S8" s="64">
        <v>2911413</v>
      </c>
      <c r="T8" s="110">
        <f>SUM(U8:V8)</f>
        <v>2980612</v>
      </c>
      <c r="U8" s="64">
        <v>2712923</v>
      </c>
      <c r="V8" s="64">
        <v>267689</v>
      </c>
      <c r="W8" s="185">
        <f t="shared" si="16"/>
        <v>8.9810079272310522E-2</v>
      </c>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row>
    <row r="9" spans="1:220" s="104" customFormat="1">
      <c r="A9" s="95">
        <v>2015</v>
      </c>
      <c r="B9" s="63">
        <v>5</v>
      </c>
      <c r="C9" s="63">
        <v>3</v>
      </c>
      <c r="D9" s="87">
        <v>8</v>
      </c>
      <c r="E9" s="87">
        <v>16.8</v>
      </c>
      <c r="F9" s="87">
        <v>10.5</v>
      </c>
      <c r="G9" s="111"/>
      <c r="H9" s="111"/>
      <c r="I9" s="63">
        <v>71</v>
      </c>
      <c r="J9" s="63">
        <v>21</v>
      </c>
      <c r="K9" s="87">
        <v>92</v>
      </c>
      <c r="L9" s="63">
        <v>14</v>
      </c>
      <c r="M9" s="87">
        <v>92</v>
      </c>
      <c r="N9" s="63">
        <v>13</v>
      </c>
      <c r="O9" s="63">
        <v>92</v>
      </c>
      <c r="P9" s="183">
        <f t="shared" si="15"/>
        <v>1</v>
      </c>
      <c r="Q9" s="63">
        <v>42</v>
      </c>
      <c r="R9" s="63">
        <v>0</v>
      </c>
      <c r="S9" s="137">
        <f>2125885+256682</f>
        <v>2382567</v>
      </c>
      <c r="T9" s="153">
        <f>2428612</f>
        <v>2428612</v>
      </c>
      <c r="U9" s="137">
        <v>2335517</v>
      </c>
      <c r="V9" s="137">
        <f>T9-U9</f>
        <v>93095</v>
      </c>
      <c r="W9" s="185">
        <f t="shared" si="16"/>
        <v>3.8332594914296726E-2</v>
      </c>
    </row>
    <row r="10" spans="1:220" s="71" customFormat="1">
      <c r="A10" s="90">
        <v>2014</v>
      </c>
      <c r="B10" s="361">
        <v>4</v>
      </c>
      <c r="C10" s="361">
        <v>4</v>
      </c>
      <c r="D10" s="108">
        <f t="shared" ref="D10:D22" si="17">SUM(B10:C10)</f>
        <v>8</v>
      </c>
      <c r="E10" s="109">
        <f t="shared" ref="E10:E22" si="18">ROUND((O10/B10), 0)</f>
        <v>19</v>
      </c>
      <c r="F10" s="109">
        <f t="shared" ref="F10:F22" si="19">ROUND((O10/D10), 0)</f>
        <v>9</v>
      </c>
      <c r="G10" s="111"/>
      <c r="H10" s="111"/>
      <c r="I10" s="361">
        <v>63</v>
      </c>
      <c r="J10" s="361">
        <v>17</v>
      </c>
      <c r="K10" s="108">
        <f t="shared" ref="K10:K22" si="20">SUM(I10:J10)</f>
        <v>80</v>
      </c>
      <c r="L10" s="361">
        <v>11.75</v>
      </c>
      <c r="M10" s="109">
        <f t="shared" ref="M10:M22" si="21">(I10+L10)</f>
        <v>74.75</v>
      </c>
      <c r="N10" s="361">
        <v>11</v>
      </c>
      <c r="O10" s="361">
        <v>75</v>
      </c>
      <c r="P10" s="183">
        <f t="shared" si="15"/>
        <v>0.9966666666666667</v>
      </c>
      <c r="Q10" s="361">
        <v>50</v>
      </c>
      <c r="R10" s="361">
        <v>0</v>
      </c>
      <c r="S10" s="112">
        <v>2774816</v>
      </c>
      <c r="T10" s="110">
        <f t="shared" ref="T10:T22" si="22">SUM(U10:V10)</f>
        <v>2879777</v>
      </c>
      <c r="U10" s="112">
        <v>2863111</v>
      </c>
      <c r="V10" s="112">
        <v>16666</v>
      </c>
      <c r="W10" s="185">
        <f t="shared" si="16"/>
        <v>5.7872536658220407E-3</v>
      </c>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row>
    <row r="11" spans="1:220" s="71" customFormat="1">
      <c r="A11" s="90">
        <v>2013</v>
      </c>
      <c r="B11" s="361">
        <v>5</v>
      </c>
      <c r="C11" s="361">
        <v>6</v>
      </c>
      <c r="D11" s="108">
        <f t="shared" si="17"/>
        <v>11</v>
      </c>
      <c r="E11" s="109">
        <f t="shared" si="18"/>
        <v>18</v>
      </c>
      <c r="F11" s="109">
        <f t="shared" si="19"/>
        <v>8</v>
      </c>
      <c r="G11" s="113"/>
      <c r="H11" s="113"/>
      <c r="I11" s="361">
        <v>47</v>
      </c>
      <c r="J11" s="361">
        <v>60</v>
      </c>
      <c r="K11" s="108">
        <f t="shared" si="20"/>
        <v>107</v>
      </c>
      <c r="L11" s="361">
        <v>45</v>
      </c>
      <c r="M11" s="109">
        <f t="shared" si="21"/>
        <v>92</v>
      </c>
      <c r="N11" s="361">
        <v>18</v>
      </c>
      <c r="O11" s="361">
        <v>92</v>
      </c>
      <c r="P11" s="183">
        <f t="shared" si="15"/>
        <v>1</v>
      </c>
      <c r="Q11" s="361">
        <v>57</v>
      </c>
      <c r="R11" s="361">
        <v>0</v>
      </c>
      <c r="S11" s="112">
        <v>2968581</v>
      </c>
      <c r="T11" s="110">
        <f t="shared" si="22"/>
        <v>3106660</v>
      </c>
      <c r="U11" s="112">
        <v>3065143</v>
      </c>
      <c r="V11" s="112">
        <v>41517</v>
      </c>
      <c r="W11" s="185">
        <f t="shared" si="16"/>
        <v>1.3363869879549097E-2</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row>
    <row r="12" spans="1:220" s="71" customFormat="1">
      <c r="A12" s="90">
        <v>2012</v>
      </c>
      <c r="B12" s="361">
        <v>5</v>
      </c>
      <c r="C12" s="361">
        <v>6</v>
      </c>
      <c r="D12" s="108">
        <f t="shared" si="17"/>
        <v>11</v>
      </c>
      <c r="E12" s="109">
        <f t="shared" si="18"/>
        <v>18</v>
      </c>
      <c r="F12" s="109">
        <f t="shared" si="19"/>
        <v>8</v>
      </c>
      <c r="G12" s="113"/>
      <c r="H12" s="113"/>
      <c r="I12" s="361">
        <v>47</v>
      </c>
      <c r="J12" s="361">
        <v>60</v>
      </c>
      <c r="K12" s="108">
        <f t="shared" si="20"/>
        <v>107</v>
      </c>
      <c r="L12" s="361">
        <v>45</v>
      </c>
      <c r="M12" s="109">
        <f t="shared" si="21"/>
        <v>92</v>
      </c>
      <c r="N12" s="361">
        <v>15</v>
      </c>
      <c r="O12" s="361">
        <v>92</v>
      </c>
      <c r="P12" s="183">
        <f t="shared" si="15"/>
        <v>1</v>
      </c>
      <c r="Q12" s="361">
        <v>57</v>
      </c>
      <c r="R12" s="361">
        <v>0</v>
      </c>
      <c r="S12" s="112">
        <v>3197302</v>
      </c>
      <c r="T12" s="110">
        <f t="shared" si="22"/>
        <v>4087715</v>
      </c>
      <c r="U12" s="112">
        <v>3636857</v>
      </c>
      <c r="V12" s="112">
        <v>450858</v>
      </c>
      <c r="W12" s="185">
        <f t="shared" si="16"/>
        <v>0.11029584988190223</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row>
    <row r="13" spans="1:220" s="71" customFormat="1">
      <c r="A13" s="90" t="s">
        <v>81</v>
      </c>
      <c r="B13" s="361">
        <v>5.5</v>
      </c>
      <c r="C13" s="361">
        <v>6.1</v>
      </c>
      <c r="D13" s="108">
        <f t="shared" si="17"/>
        <v>11.6</v>
      </c>
      <c r="E13" s="109">
        <f t="shared" si="18"/>
        <v>20</v>
      </c>
      <c r="F13" s="109">
        <f t="shared" si="19"/>
        <v>9</v>
      </c>
      <c r="G13" s="113"/>
      <c r="H13" s="113"/>
      <c r="I13" s="361">
        <v>62</v>
      </c>
      <c r="J13" s="361">
        <v>63</v>
      </c>
      <c r="K13" s="108">
        <f t="shared" si="20"/>
        <v>125</v>
      </c>
      <c r="L13" s="361">
        <v>46</v>
      </c>
      <c r="M13" s="109">
        <f t="shared" si="21"/>
        <v>108</v>
      </c>
      <c r="N13" s="361">
        <v>20</v>
      </c>
      <c r="O13" s="361">
        <v>108</v>
      </c>
      <c r="P13" s="183">
        <f t="shared" si="15"/>
        <v>1</v>
      </c>
      <c r="Q13" s="361">
        <v>69</v>
      </c>
      <c r="R13" s="361">
        <v>0</v>
      </c>
      <c r="S13" s="112">
        <v>3754708</v>
      </c>
      <c r="T13" s="110">
        <f t="shared" si="22"/>
        <v>3882890</v>
      </c>
      <c r="U13" s="112">
        <v>3828270</v>
      </c>
      <c r="V13" s="112">
        <v>54620</v>
      </c>
      <c r="W13" s="185">
        <f t="shared" si="16"/>
        <v>1.4066841965649297E-2</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row>
    <row r="14" spans="1:220" s="71" customFormat="1">
      <c r="A14" s="90" t="s">
        <v>82</v>
      </c>
      <c r="B14" s="361">
        <v>6</v>
      </c>
      <c r="C14" s="361">
        <v>5</v>
      </c>
      <c r="D14" s="108">
        <f t="shared" si="17"/>
        <v>11</v>
      </c>
      <c r="E14" s="109">
        <f t="shared" si="18"/>
        <v>23</v>
      </c>
      <c r="F14" s="109">
        <f t="shared" si="19"/>
        <v>13</v>
      </c>
      <c r="G14" s="113"/>
      <c r="H14" s="113"/>
      <c r="I14" s="361">
        <v>91</v>
      </c>
      <c r="J14" s="361">
        <v>68</v>
      </c>
      <c r="K14" s="108">
        <f t="shared" si="20"/>
        <v>159</v>
      </c>
      <c r="L14" s="361">
        <v>48.5</v>
      </c>
      <c r="M14" s="109">
        <f t="shared" si="21"/>
        <v>139.5</v>
      </c>
      <c r="N14" s="361">
        <v>27</v>
      </c>
      <c r="O14" s="361">
        <v>139.5</v>
      </c>
      <c r="P14" s="183">
        <f t="shared" si="15"/>
        <v>1</v>
      </c>
      <c r="Q14" s="361">
        <v>62</v>
      </c>
      <c r="R14" s="361">
        <v>0</v>
      </c>
      <c r="S14" s="112">
        <v>2800406</v>
      </c>
      <c r="T14" s="110">
        <f t="shared" si="22"/>
        <v>3748484</v>
      </c>
      <c r="U14" s="112">
        <v>3711272</v>
      </c>
      <c r="V14" s="112">
        <v>37212</v>
      </c>
      <c r="W14" s="185">
        <f t="shared" si="16"/>
        <v>9.9272132414063921E-3</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row>
    <row r="15" spans="1:220" s="71" customFormat="1">
      <c r="A15" s="90" t="s">
        <v>83</v>
      </c>
      <c r="B15" s="361">
        <v>6</v>
      </c>
      <c r="C15" s="361">
        <v>6</v>
      </c>
      <c r="D15" s="108">
        <f t="shared" si="17"/>
        <v>12</v>
      </c>
      <c r="E15" s="109">
        <f t="shared" si="18"/>
        <v>23</v>
      </c>
      <c r="F15" s="109">
        <f t="shared" si="19"/>
        <v>12</v>
      </c>
      <c r="G15" s="113"/>
      <c r="H15" s="113"/>
      <c r="I15" s="361">
        <v>77</v>
      </c>
      <c r="J15" s="361">
        <v>90</v>
      </c>
      <c r="K15" s="108">
        <f t="shared" si="20"/>
        <v>167</v>
      </c>
      <c r="L15" s="361">
        <v>61.38</v>
      </c>
      <c r="M15" s="109">
        <f t="shared" si="21"/>
        <v>138.38</v>
      </c>
      <c r="N15" s="361">
        <v>33</v>
      </c>
      <c r="O15" s="361">
        <v>138.38</v>
      </c>
      <c r="P15" s="183">
        <f t="shared" si="15"/>
        <v>1</v>
      </c>
      <c r="Q15" s="361">
        <v>45</v>
      </c>
      <c r="R15" s="361">
        <v>0</v>
      </c>
      <c r="S15" s="112">
        <v>2661037</v>
      </c>
      <c r="T15" s="110">
        <f t="shared" si="22"/>
        <v>2798922</v>
      </c>
      <c r="U15" s="112">
        <v>2774515</v>
      </c>
      <c r="V15" s="112">
        <v>24407</v>
      </c>
      <c r="W15" s="185">
        <f t="shared" si="16"/>
        <v>8.7201429693289055E-3</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row>
    <row r="16" spans="1:220" s="71" customFormat="1">
      <c r="A16" s="90" t="s">
        <v>84</v>
      </c>
      <c r="B16" s="361">
        <v>6</v>
      </c>
      <c r="C16" s="361">
        <v>1.2</v>
      </c>
      <c r="D16" s="108">
        <f t="shared" si="17"/>
        <v>7.2</v>
      </c>
      <c r="E16" s="109">
        <f t="shared" si="18"/>
        <v>18</v>
      </c>
      <c r="F16" s="109">
        <f t="shared" si="19"/>
        <v>15</v>
      </c>
      <c r="G16" s="113"/>
      <c r="H16" s="113"/>
      <c r="I16" s="361">
        <v>50</v>
      </c>
      <c r="J16" s="361">
        <v>86</v>
      </c>
      <c r="K16" s="108">
        <f t="shared" si="20"/>
        <v>136</v>
      </c>
      <c r="L16" s="361">
        <v>58.85</v>
      </c>
      <c r="M16" s="109">
        <f t="shared" si="21"/>
        <v>108.85</v>
      </c>
      <c r="N16" s="361">
        <v>25</v>
      </c>
      <c r="O16" s="361">
        <v>109</v>
      </c>
      <c r="P16" s="183">
        <f t="shared" si="15"/>
        <v>0.9986238532110091</v>
      </c>
      <c r="Q16" s="361">
        <v>64</v>
      </c>
      <c r="R16" s="361">
        <v>0</v>
      </c>
      <c r="S16" s="112">
        <v>2749353</v>
      </c>
      <c r="T16" s="110">
        <f t="shared" si="22"/>
        <v>2915185</v>
      </c>
      <c r="U16" s="112">
        <v>2885966</v>
      </c>
      <c r="V16" s="112">
        <v>29219</v>
      </c>
      <c r="W16" s="185">
        <f t="shared" si="16"/>
        <v>1.0023034558698676E-2</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row>
    <row r="17" spans="1:57" s="71" customFormat="1">
      <c r="A17" s="90">
        <v>2007</v>
      </c>
      <c r="B17" s="361">
        <v>6</v>
      </c>
      <c r="C17" s="361">
        <v>8</v>
      </c>
      <c r="D17" s="194">
        <f t="shared" si="17"/>
        <v>14</v>
      </c>
      <c r="E17" s="109">
        <f t="shared" si="18"/>
        <v>20</v>
      </c>
      <c r="F17" s="109">
        <f t="shared" si="19"/>
        <v>9</v>
      </c>
      <c r="G17" s="113"/>
      <c r="H17" s="113"/>
      <c r="I17" s="361">
        <v>60</v>
      </c>
      <c r="J17" s="361">
        <v>91</v>
      </c>
      <c r="K17" s="194">
        <f t="shared" si="20"/>
        <v>151</v>
      </c>
      <c r="L17" s="361">
        <v>60.25</v>
      </c>
      <c r="M17" s="109">
        <f t="shared" si="21"/>
        <v>120.25</v>
      </c>
      <c r="N17" s="361">
        <v>21</v>
      </c>
      <c r="O17" s="361">
        <v>120</v>
      </c>
      <c r="P17" s="183">
        <f t="shared" si="15"/>
        <v>1.0020833333333334</v>
      </c>
      <c r="Q17" s="361">
        <v>63</v>
      </c>
      <c r="R17" s="361">
        <v>0</v>
      </c>
      <c r="S17" s="192">
        <v>2768127</v>
      </c>
      <c r="T17" s="110">
        <f t="shared" si="22"/>
        <v>3063006</v>
      </c>
      <c r="U17" s="192">
        <v>3027004</v>
      </c>
      <c r="V17" s="220">
        <v>36002</v>
      </c>
      <c r="W17" s="185">
        <f t="shared" si="16"/>
        <v>1.1753813084270811E-2</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row>
    <row r="18" spans="1:57" s="71" customFormat="1">
      <c r="A18" s="90">
        <v>2006</v>
      </c>
      <c r="B18" s="361">
        <v>6</v>
      </c>
      <c r="C18" s="361">
        <v>3.5</v>
      </c>
      <c r="D18" s="194">
        <f t="shared" si="17"/>
        <v>9.5</v>
      </c>
      <c r="E18" s="109">
        <f t="shared" si="18"/>
        <v>21</v>
      </c>
      <c r="F18" s="109">
        <f t="shared" si="19"/>
        <v>13</v>
      </c>
      <c r="G18" s="113"/>
      <c r="H18" s="113"/>
      <c r="I18" s="361">
        <v>57</v>
      </c>
      <c r="J18" s="361">
        <v>108</v>
      </c>
      <c r="K18" s="194">
        <f t="shared" si="20"/>
        <v>165</v>
      </c>
      <c r="L18" s="361">
        <v>71</v>
      </c>
      <c r="M18" s="109">
        <f t="shared" si="21"/>
        <v>128</v>
      </c>
      <c r="N18" s="361">
        <v>17</v>
      </c>
      <c r="O18" s="361">
        <v>128</v>
      </c>
      <c r="P18" s="183">
        <f t="shared" si="15"/>
        <v>1</v>
      </c>
      <c r="Q18" s="361">
        <v>50</v>
      </c>
      <c r="R18" s="361">
        <v>0</v>
      </c>
      <c r="S18" s="192">
        <v>2343100</v>
      </c>
      <c r="T18" s="110">
        <f t="shared" si="22"/>
        <v>2644975</v>
      </c>
      <c r="U18" s="192">
        <v>2644975</v>
      </c>
      <c r="V18" s="220">
        <v>0</v>
      </c>
      <c r="W18" s="185">
        <f t="shared" si="16"/>
        <v>0</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row>
    <row r="19" spans="1:57" s="71" customFormat="1">
      <c r="A19" s="90">
        <v>2005</v>
      </c>
      <c r="B19" s="361">
        <v>5</v>
      </c>
      <c r="C19" s="361">
        <v>2</v>
      </c>
      <c r="D19" s="194">
        <f t="shared" si="17"/>
        <v>7</v>
      </c>
      <c r="E19" s="109">
        <f t="shared" si="18"/>
        <v>24</v>
      </c>
      <c r="F19" s="109">
        <f t="shared" si="19"/>
        <v>17</v>
      </c>
      <c r="G19" s="113"/>
      <c r="H19" s="113"/>
      <c r="I19" s="361">
        <v>50</v>
      </c>
      <c r="J19" s="361">
        <v>107</v>
      </c>
      <c r="K19" s="194">
        <f t="shared" si="20"/>
        <v>157</v>
      </c>
      <c r="L19" s="361">
        <v>69</v>
      </c>
      <c r="M19" s="109">
        <f t="shared" si="21"/>
        <v>119</v>
      </c>
      <c r="N19" s="361">
        <v>15</v>
      </c>
      <c r="O19" s="361">
        <v>120</v>
      </c>
      <c r="P19" s="183">
        <f t="shared" si="15"/>
        <v>0.9916666666666667</v>
      </c>
      <c r="Q19" s="361">
        <v>27</v>
      </c>
      <c r="R19" s="361">
        <v>6</v>
      </c>
      <c r="S19" s="192">
        <v>819838</v>
      </c>
      <c r="T19" s="110">
        <f t="shared" si="22"/>
        <v>1073082</v>
      </c>
      <c r="U19" s="222">
        <v>1053725</v>
      </c>
      <c r="V19" s="221">
        <v>19357</v>
      </c>
      <c r="W19" s="185">
        <f t="shared" si="16"/>
        <v>1.8038696017638915E-2</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row>
    <row r="20" spans="1:57" s="71" customFormat="1">
      <c r="A20" s="90">
        <v>2004</v>
      </c>
      <c r="B20" s="195">
        <v>4</v>
      </c>
      <c r="C20" s="195">
        <v>0</v>
      </c>
      <c r="D20" s="194">
        <f t="shared" si="17"/>
        <v>4</v>
      </c>
      <c r="E20" s="109">
        <f t="shared" si="18"/>
        <v>21</v>
      </c>
      <c r="F20" s="109">
        <f t="shared" si="19"/>
        <v>21</v>
      </c>
      <c r="G20" s="113"/>
      <c r="H20" s="113"/>
      <c r="I20" s="195">
        <v>33</v>
      </c>
      <c r="J20" s="195">
        <v>77</v>
      </c>
      <c r="K20" s="194">
        <f t="shared" si="20"/>
        <v>110</v>
      </c>
      <c r="L20" s="195">
        <v>49</v>
      </c>
      <c r="M20" s="109">
        <f t="shared" si="21"/>
        <v>82</v>
      </c>
      <c r="N20" s="195">
        <v>3</v>
      </c>
      <c r="O20" s="195">
        <v>82</v>
      </c>
      <c r="P20" s="183">
        <f t="shared" si="15"/>
        <v>1</v>
      </c>
      <c r="Q20" s="195">
        <v>19</v>
      </c>
      <c r="R20" s="361">
        <v>0</v>
      </c>
      <c r="S20" s="192">
        <v>373524</v>
      </c>
      <c r="T20" s="110">
        <f t="shared" si="22"/>
        <v>686651</v>
      </c>
      <c r="U20" s="192">
        <v>653132</v>
      </c>
      <c r="V20" s="192">
        <v>33519</v>
      </c>
      <c r="W20" s="185">
        <f t="shared" si="16"/>
        <v>4.88151914145614E-2</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row>
    <row r="21" spans="1:57" s="71" customFormat="1">
      <c r="A21" s="90">
        <v>2003</v>
      </c>
      <c r="B21" s="195">
        <v>4</v>
      </c>
      <c r="C21" s="195">
        <v>1</v>
      </c>
      <c r="D21" s="194">
        <f t="shared" si="17"/>
        <v>5</v>
      </c>
      <c r="E21" s="109">
        <f t="shared" si="18"/>
        <v>14</v>
      </c>
      <c r="F21" s="109">
        <f t="shared" si="19"/>
        <v>11</v>
      </c>
      <c r="G21" s="113"/>
      <c r="H21" s="113"/>
      <c r="I21" s="195">
        <v>21</v>
      </c>
      <c r="J21" s="195">
        <v>49</v>
      </c>
      <c r="K21" s="194">
        <f t="shared" si="20"/>
        <v>70</v>
      </c>
      <c r="L21" s="195">
        <v>31</v>
      </c>
      <c r="M21" s="109">
        <f t="shared" si="21"/>
        <v>52</v>
      </c>
      <c r="N21" s="195">
        <v>6</v>
      </c>
      <c r="O21" s="195">
        <v>57</v>
      </c>
      <c r="P21" s="183">
        <f t="shared" si="15"/>
        <v>0.91228070175438591</v>
      </c>
      <c r="Q21" s="195">
        <v>0</v>
      </c>
      <c r="R21" s="361">
        <v>28</v>
      </c>
      <c r="S21" s="192">
        <v>368090</v>
      </c>
      <c r="T21" s="110">
        <f t="shared" si="22"/>
        <v>475235</v>
      </c>
      <c r="U21" s="192">
        <v>385795</v>
      </c>
      <c r="V21" s="192">
        <v>89440</v>
      </c>
      <c r="W21" s="185">
        <f t="shared" si="16"/>
        <v>0.18820162656370007</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row>
    <row r="22" spans="1:57" s="71" customFormat="1">
      <c r="A22" s="90">
        <v>2002</v>
      </c>
      <c r="B22" s="195">
        <v>3</v>
      </c>
      <c r="C22" s="195">
        <v>1</v>
      </c>
      <c r="D22" s="194">
        <f t="shared" si="17"/>
        <v>4</v>
      </c>
      <c r="E22" s="109">
        <f t="shared" si="18"/>
        <v>8</v>
      </c>
      <c r="F22" s="109">
        <f t="shared" si="19"/>
        <v>6</v>
      </c>
      <c r="G22" s="113"/>
      <c r="H22" s="113"/>
      <c r="I22" s="195">
        <v>4</v>
      </c>
      <c r="J22" s="195">
        <v>42</v>
      </c>
      <c r="K22" s="194">
        <f t="shared" si="20"/>
        <v>46</v>
      </c>
      <c r="L22" s="195">
        <f>ROUND(20.66, 0)</f>
        <v>21</v>
      </c>
      <c r="M22" s="109">
        <f t="shared" si="21"/>
        <v>25</v>
      </c>
      <c r="N22" s="195">
        <v>4</v>
      </c>
      <c r="O22" s="195">
        <f>ROUND(24.66, 0)</f>
        <v>25</v>
      </c>
      <c r="P22" s="183">
        <f t="shared" si="15"/>
        <v>1</v>
      </c>
      <c r="Q22" s="195">
        <v>0</v>
      </c>
      <c r="R22" s="361">
        <v>15</v>
      </c>
      <c r="S22" s="192">
        <v>402352</v>
      </c>
      <c r="T22" s="110">
        <f t="shared" si="22"/>
        <v>456794</v>
      </c>
      <c r="U22" s="192">
        <v>305940</v>
      </c>
      <c r="V22" s="192">
        <v>150854</v>
      </c>
      <c r="W22" s="185">
        <f t="shared" si="16"/>
        <v>0.33024514332499988</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row>
    <row r="23" spans="1:57" s="71" customFormat="1">
      <c r="A23" s="653" t="s">
        <v>155</v>
      </c>
      <c r="B23" s="673"/>
      <c r="C23" s="673"/>
      <c r="D23" s="673"/>
      <c r="E23" s="673"/>
      <c r="F23" s="673"/>
      <c r="G23" s="673"/>
      <c r="H23" s="673"/>
      <c r="I23" s="673"/>
      <c r="J23" s="673"/>
      <c r="K23" s="673"/>
      <c r="L23" s="673"/>
      <c r="M23" s="673"/>
      <c r="N23" s="673"/>
      <c r="O23" s="673"/>
      <c r="P23" s="673"/>
      <c r="Q23" s="673"/>
      <c r="R23" s="673"/>
      <c r="S23" s="673"/>
      <c r="T23" s="673"/>
      <c r="U23" s="673"/>
      <c r="V23" s="673"/>
      <c r="W23" s="673"/>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row>
    <row r="24" spans="1:57" s="13" customFormat="1">
      <c r="G24" s="26"/>
      <c r="H24" s="2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row>
    <row r="25" spans="1:57" s="14" customFormat="1">
      <c r="G25"/>
      <c r="H25"/>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row>
    <row r="26" spans="1:57" s="14" customFormat="1">
      <c r="G26"/>
      <c r="H26"/>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row>
    <row r="27" spans="1:57" s="14" customFormat="1">
      <c r="G27"/>
      <c r="H27"/>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row>
    <row r="28" spans="1:57" s="14" customFormat="1">
      <c r="G28"/>
      <c r="H28"/>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row>
    <row r="29" spans="1:57" s="14" customFormat="1">
      <c r="G29"/>
      <c r="H29"/>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row>
    <row r="30" spans="1:57" s="14" customFormat="1">
      <c r="G30"/>
      <c r="H30"/>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row>
    <row r="31" spans="1:57" s="14" customFormat="1">
      <c r="G31"/>
      <c r="H3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row>
    <row r="32" spans="1:57" s="14" customFormat="1">
      <c r="G32"/>
      <c r="H32"/>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row>
    <row r="33" spans="7:57" s="14" customFormat="1">
      <c r="G33"/>
      <c r="H3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row>
    <row r="34" spans="7:57" s="14" customFormat="1">
      <c r="G34"/>
      <c r="H34"/>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row>
  </sheetData>
  <mergeCells count="1">
    <mergeCell ref="A23:W23"/>
  </mergeCells>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L34"/>
  <sheetViews>
    <sheetView workbookViewId="0">
      <selection activeCell="D27" sqref="D27"/>
    </sheetView>
  </sheetViews>
  <sheetFormatPr defaultColWidth="8.85546875" defaultRowHeight="15"/>
  <cols>
    <col min="1" max="1" width="13" style="77" customWidth="1"/>
    <col min="2" max="2" width="10.140625" style="77" bestFit="1" customWidth="1"/>
    <col min="3" max="3" width="8.42578125" style="77" bestFit="1" customWidth="1"/>
    <col min="4" max="4" width="9.42578125" style="77" bestFit="1" customWidth="1"/>
    <col min="5" max="5" width="12.42578125" style="77" bestFit="1" customWidth="1"/>
    <col min="6" max="6" width="11.42578125" style="77" bestFit="1" customWidth="1"/>
    <col min="7" max="8" width="12.140625" style="77" customWidth="1"/>
    <col min="9" max="9" width="8.85546875" style="77" bestFit="1" customWidth="1"/>
    <col min="10" max="11" width="11.85546875" style="77" bestFit="1" customWidth="1"/>
    <col min="12" max="12" width="12.42578125" style="77" bestFit="1" customWidth="1"/>
    <col min="13" max="13" width="13.140625" style="77" bestFit="1" customWidth="1"/>
    <col min="14" max="14" width="11.42578125" style="77" customWidth="1"/>
    <col min="15" max="15" width="13.42578125" style="77" bestFit="1" customWidth="1"/>
    <col min="16" max="16" width="13.42578125" style="77" customWidth="1"/>
    <col min="17" max="17" width="12.42578125" style="77" bestFit="1" customWidth="1"/>
    <col min="18" max="18" width="9" style="77" bestFit="1" customWidth="1"/>
    <col min="19" max="19" width="11.85546875" style="77" bestFit="1" customWidth="1"/>
    <col min="20" max="20" width="12.85546875" style="77" bestFit="1" customWidth="1"/>
    <col min="21" max="21" width="10.42578125" style="77" bestFit="1" customWidth="1"/>
    <col min="22" max="22" width="10.85546875" style="77" bestFit="1" customWidth="1"/>
    <col min="23" max="23" width="12.85546875" style="77" bestFit="1" customWidth="1"/>
    <col min="24" max="16384" width="8.85546875" style="77"/>
  </cols>
  <sheetData>
    <row r="1" spans="1:220" s="8" customFormat="1" ht="18.75">
      <c r="A1" s="1" t="s">
        <v>47</v>
      </c>
      <c r="B1" s="2"/>
      <c r="C1" s="1"/>
      <c r="D1" s="1"/>
      <c r="E1" s="1"/>
      <c r="F1" s="1"/>
      <c r="G1" s="1"/>
      <c r="H1" s="1"/>
      <c r="I1" s="1"/>
      <c r="J1" s="1"/>
      <c r="K1" s="1"/>
      <c r="L1" s="1"/>
      <c r="M1" s="1"/>
      <c r="N1" s="1"/>
      <c r="O1" s="1"/>
      <c r="P1" s="1"/>
      <c r="Q1" s="1"/>
      <c r="R1" s="1"/>
      <c r="S1" s="1"/>
      <c r="T1" s="1"/>
      <c r="U1" s="1"/>
      <c r="V1" s="1"/>
      <c r="W1" s="1"/>
    </row>
    <row r="2" spans="1:220" s="7" customFormat="1" ht="58.5" customHeight="1">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11</v>
      </c>
      <c r="C3" s="409">
        <v>5</v>
      </c>
      <c r="D3" s="410">
        <f t="shared" ref="D3" si="0">SUM(B3:C3)</f>
        <v>16</v>
      </c>
      <c r="E3" s="411">
        <f>ROUND((O3/B3), 0)</f>
        <v>15</v>
      </c>
      <c r="F3" s="411">
        <f>ROUND((O3/D3), 0)</f>
        <v>10</v>
      </c>
      <c r="G3" s="409">
        <v>11</v>
      </c>
      <c r="H3" s="409">
        <v>5</v>
      </c>
      <c r="I3" s="409">
        <v>92</v>
      </c>
      <c r="J3" s="409">
        <v>207</v>
      </c>
      <c r="K3" s="410">
        <f t="shared" ref="K3" si="1">SUM(I3:J3)</f>
        <v>299</v>
      </c>
      <c r="L3" s="434">
        <f>J3*0.33</f>
        <v>68.31</v>
      </c>
      <c r="M3" s="411">
        <f>(I3+L3)</f>
        <v>160.31</v>
      </c>
      <c r="N3" s="409">
        <v>68</v>
      </c>
      <c r="O3" s="435">
        <v>161</v>
      </c>
      <c r="P3" s="436">
        <f t="shared" ref="P3" si="2">M3/O3</f>
        <v>0.99571428571428577</v>
      </c>
      <c r="Q3" s="409">
        <v>66</v>
      </c>
      <c r="R3" s="409">
        <v>21</v>
      </c>
      <c r="S3" s="414">
        <v>1787312</v>
      </c>
      <c r="T3" s="415">
        <f t="shared" ref="T3" si="3">SUM(U3:V3)</f>
        <v>3864115</v>
      </c>
      <c r="U3" s="414">
        <v>3864115</v>
      </c>
      <c r="V3" s="414">
        <v>0</v>
      </c>
      <c r="W3" s="335">
        <f t="shared" ref="W3" si="4">V3/T3</f>
        <v>0</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11</v>
      </c>
      <c r="C4" s="409">
        <v>5</v>
      </c>
      <c r="D4" s="410">
        <f>SUM(B4:C4)</f>
        <v>16</v>
      </c>
      <c r="E4" s="411">
        <f>ROUND((O4/B4), 0)</f>
        <v>15</v>
      </c>
      <c r="F4" s="411">
        <f>ROUND((O4/D4), 0)</f>
        <v>10</v>
      </c>
      <c r="G4" s="409">
        <v>11</v>
      </c>
      <c r="H4" s="409">
        <v>5</v>
      </c>
      <c r="I4" s="409">
        <v>65</v>
      </c>
      <c r="J4" s="409">
        <v>171</v>
      </c>
      <c r="K4" s="410">
        <f t="shared" ref="K4" si="5">SUM(I4:J4)</f>
        <v>236</v>
      </c>
      <c r="L4" s="434">
        <f>J4*0.33</f>
        <v>56.43</v>
      </c>
      <c r="M4" s="411">
        <f>(I4+L4)</f>
        <v>121.43</v>
      </c>
      <c r="N4" s="409">
        <v>62</v>
      </c>
      <c r="O4" s="435">
        <v>162</v>
      </c>
      <c r="P4" s="436">
        <f t="shared" ref="P4" si="6">M4/O4</f>
        <v>0.74956790123456796</v>
      </c>
      <c r="Q4" s="409">
        <v>77</v>
      </c>
      <c r="R4" s="409">
        <v>5</v>
      </c>
      <c r="S4" s="414">
        <v>1803172</v>
      </c>
      <c r="T4" s="415">
        <f>SUM(U4:V4)</f>
        <v>3143862</v>
      </c>
      <c r="U4" s="414">
        <v>3138962</v>
      </c>
      <c r="V4" s="414">
        <v>4900</v>
      </c>
      <c r="W4" s="335">
        <f t="shared" ref="W4" si="7">V4/T4</f>
        <v>1.5585925845345628E-3</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12</v>
      </c>
      <c r="C5" s="409">
        <v>4.5</v>
      </c>
      <c r="D5" s="410">
        <f>SUM(B5:C5)</f>
        <v>16.5</v>
      </c>
      <c r="E5" s="411">
        <f>ROUND((O5/B5), 0)</f>
        <v>13</v>
      </c>
      <c r="F5" s="411">
        <f>ROUND((O5/D5), 0)</f>
        <v>9</v>
      </c>
      <c r="G5" s="409">
        <v>12</v>
      </c>
      <c r="H5" s="409">
        <v>4.5</v>
      </c>
      <c r="I5" s="409">
        <v>76</v>
      </c>
      <c r="J5" s="409">
        <v>210</v>
      </c>
      <c r="K5" s="410">
        <f t="shared" ref="K5" si="8">SUM(I5:J5)</f>
        <v>286</v>
      </c>
      <c r="L5" s="434">
        <f>J5*0.33</f>
        <v>69.3</v>
      </c>
      <c r="M5" s="411">
        <f>(I5+L5)</f>
        <v>145.30000000000001</v>
      </c>
      <c r="N5" s="409">
        <v>71</v>
      </c>
      <c r="O5" s="435">
        <v>153.19999999999999</v>
      </c>
      <c r="P5" s="436">
        <f t="shared" ref="P5" si="9">M5/O5</f>
        <v>0.94843342036553535</v>
      </c>
      <c r="Q5" s="409">
        <v>69</v>
      </c>
      <c r="R5" s="409">
        <v>9</v>
      </c>
      <c r="S5" s="414">
        <f>1876516.07-753.76</f>
        <v>1875762.31</v>
      </c>
      <c r="T5" s="415">
        <f>SUM(U5:V5)</f>
        <v>2837821</v>
      </c>
      <c r="U5" s="414">
        <f>3225766+34859-190797-243374</f>
        <v>2826454</v>
      </c>
      <c r="V5" s="414">
        <v>11367</v>
      </c>
      <c r="W5" s="335">
        <f t="shared" ref="W5" si="10">V5/T5</f>
        <v>4.0055380519067266E-3</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12</v>
      </c>
      <c r="C6" s="20">
        <v>2.67</v>
      </c>
      <c r="D6" s="29">
        <f>SUM(B6:C6)</f>
        <v>14.67</v>
      </c>
      <c r="E6" s="172">
        <f>ROUND((O6/B6), 0)</f>
        <v>9</v>
      </c>
      <c r="F6" s="172">
        <f>ROUND((O6/D6), 0)</f>
        <v>8</v>
      </c>
      <c r="G6" s="20">
        <v>12</v>
      </c>
      <c r="H6" s="20">
        <v>2.67</v>
      </c>
      <c r="I6" s="20">
        <v>54</v>
      </c>
      <c r="J6" s="20">
        <v>108</v>
      </c>
      <c r="K6" s="29">
        <f>SUM(I6:J6)</f>
        <v>162</v>
      </c>
      <c r="L6" s="20">
        <f>J6*0.33</f>
        <v>35.64</v>
      </c>
      <c r="M6" s="172">
        <f>(I6+L6)</f>
        <v>89.64</v>
      </c>
      <c r="N6" s="20">
        <v>54</v>
      </c>
      <c r="O6" s="20">
        <v>110.6</v>
      </c>
      <c r="P6" s="183">
        <f>M6/O6</f>
        <v>0.81048824593128399</v>
      </c>
      <c r="Q6" s="20">
        <v>94</v>
      </c>
      <c r="R6" s="20">
        <v>4</v>
      </c>
      <c r="S6" s="24">
        <v>1819976.52</v>
      </c>
      <c r="T6" s="30">
        <f>SUM(U6:V6)</f>
        <v>3113175</v>
      </c>
      <c r="U6" s="24">
        <v>3104625</v>
      </c>
      <c r="V6" s="24">
        <v>8550</v>
      </c>
      <c r="W6" s="185">
        <f>V6/T6</f>
        <v>2.7463923486472815E-3</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12</v>
      </c>
      <c r="C7" s="20">
        <v>5</v>
      </c>
      <c r="D7" s="34">
        <f>SUM(B7:C7)</f>
        <v>17</v>
      </c>
      <c r="E7" s="34">
        <f t="shared" ref="E7:E22" si="11">ROUND((O7/B7), 0)</f>
        <v>10</v>
      </c>
      <c r="F7" s="34">
        <f t="shared" ref="F7:F22" si="12">ROUND((O7/D7), 0)</f>
        <v>7</v>
      </c>
      <c r="G7" s="20">
        <v>12</v>
      </c>
      <c r="H7" s="20">
        <v>5</v>
      </c>
      <c r="I7" s="20">
        <v>52</v>
      </c>
      <c r="J7" s="20">
        <v>149</v>
      </c>
      <c r="K7" s="34">
        <f t="shared" ref="K7:K22" si="13">SUM(I7:J7)</f>
        <v>201</v>
      </c>
      <c r="L7" s="20">
        <f>J7*0.33</f>
        <v>49.17</v>
      </c>
      <c r="M7" s="36">
        <f t="shared" ref="M7:M22" si="14">(I7+L7)</f>
        <v>101.17</v>
      </c>
      <c r="N7" s="344">
        <v>44</v>
      </c>
      <c r="O7" s="344">
        <v>122.3</v>
      </c>
      <c r="P7" s="183">
        <f t="shared" ref="P7:P22" si="15">M7/O7</f>
        <v>0.82722812755519215</v>
      </c>
      <c r="Q7" s="20">
        <v>86</v>
      </c>
      <c r="R7" s="20">
        <v>0</v>
      </c>
      <c r="S7" s="300">
        <v>1932279</v>
      </c>
      <c r="T7" s="35">
        <f>SUM(U7:V7)</f>
        <v>3352668</v>
      </c>
      <c r="U7" s="341">
        <v>3352668</v>
      </c>
      <c r="V7" s="24">
        <v>0</v>
      </c>
      <c r="W7" s="185">
        <f t="shared" ref="W7:W22" si="16">V7/T7</f>
        <v>0</v>
      </c>
    </row>
    <row r="8" spans="1:220" s="65" customFormat="1">
      <c r="A8" s="95">
        <v>2016</v>
      </c>
      <c r="B8" s="63">
        <v>12</v>
      </c>
      <c r="C8" s="63">
        <v>5</v>
      </c>
      <c r="D8" s="223">
        <f>SUM(B8:C8)</f>
        <v>17</v>
      </c>
      <c r="E8" s="223">
        <f t="shared" si="11"/>
        <v>15</v>
      </c>
      <c r="F8" s="223">
        <f t="shared" si="12"/>
        <v>10</v>
      </c>
      <c r="G8" s="63">
        <v>12</v>
      </c>
      <c r="H8" s="63">
        <v>5</v>
      </c>
      <c r="I8" s="63">
        <v>75</v>
      </c>
      <c r="J8" s="63">
        <f>SUM(29,109)</f>
        <v>138</v>
      </c>
      <c r="K8" s="223">
        <f t="shared" si="13"/>
        <v>213</v>
      </c>
      <c r="L8" s="63">
        <v>46</v>
      </c>
      <c r="M8" s="80">
        <f t="shared" si="14"/>
        <v>121</v>
      </c>
      <c r="N8" s="155">
        <v>37</v>
      </c>
      <c r="O8" s="155">
        <v>178</v>
      </c>
      <c r="P8" s="183">
        <f t="shared" si="15"/>
        <v>0.6797752808988764</v>
      </c>
      <c r="Q8" s="63">
        <v>112</v>
      </c>
      <c r="R8" s="63">
        <v>3</v>
      </c>
      <c r="S8" s="102">
        <f>2004101.69+1524.7+9290.31</f>
        <v>2014916.7</v>
      </c>
      <c r="T8" s="224">
        <f>SUM(U8:V8)</f>
        <v>3476490.55</v>
      </c>
      <c r="U8" s="197">
        <f>3341861.9+131940</f>
        <v>3473801.9</v>
      </c>
      <c r="V8" s="64">
        <v>2688.65</v>
      </c>
      <c r="W8" s="185">
        <f t="shared" si="16"/>
        <v>7.733805000562997E-4</v>
      </c>
    </row>
    <row r="9" spans="1:220" s="65" customFormat="1">
      <c r="A9" s="95">
        <v>2015</v>
      </c>
      <c r="B9" s="63">
        <v>12</v>
      </c>
      <c r="C9" s="91">
        <v>6</v>
      </c>
      <c r="D9" s="80">
        <f>SUM(B9,C9)</f>
        <v>18</v>
      </c>
      <c r="E9" s="80">
        <f t="shared" si="11"/>
        <v>11</v>
      </c>
      <c r="F9" s="80">
        <f t="shared" si="12"/>
        <v>7</v>
      </c>
      <c r="G9" s="111"/>
      <c r="H9" s="111"/>
      <c r="I9" s="63">
        <v>89</v>
      </c>
      <c r="J9" s="63">
        <v>126</v>
      </c>
      <c r="K9" s="223">
        <f t="shared" si="13"/>
        <v>215</v>
      </c>
      <c r="L9" s="225">
        <v>72.25</v>
      </c>
      <c r="M9" s="80">
        <f t="shared" si="14"/>
        <v>161.25</v>
      </c>
      <c r="N9" s="91">
        <v>51</v>
      </c>
      <c r="O9" s="63">
        <v>133.63</v>
      </c>
      <c r="P9" s="183">
        <f t="shared" si="15"/>
        <v>1.2066901144952482</v>
      </c>
      <c r="Q9" s="63">
        <v>114</v>
      </c>
      <c r="R9" s="91">
        <v>2</v>
      </c>
      <c r="S9" s="102">
        <v>2377317</v>
      </c>
      <c r="T9" s="103">
        <v>2377320</v>
      </c>
      <c r="U9" s="102">
        <v>2363151</v>
      </c>
      <c r="V9" s="102">
        <v>14169</v>
      </c>
      <c r="W9" s="185">
        <f t="shared" si="16"/>
        <v>5.9600726868911215E-3</v>
      </c>
    </row>
    <row r="10" spans="1:220" s="231" customFormat="1">
      <c r="A10" s="90">
        <v>2014</v>
      </c>
      <c r="B10" s="226">
        <v>13</v>
      </c>
      <c r="C10" s="226">
        <v>5</v>
      </c>
      <c r="D10" s="227">
        <f t="shared" ref="D10:D22" si="17">SUM(B10:C10)</f>
        <v>18</v>
      </c>
      <c r="E10" s="227">
        <f t="shared" si="11"/>
        <v>15</v>
      </c>
      <c r="F10" s="227">
        <f t="shared" si="12"/>
        <v>11</v>
      </c>
      <c r="G10" s="111"/>
      <c r="H10" s="111"/>
      <c r="I10" s="226">
        <v>90</v>
      </c>
      <c r="J10" s="226">
        <v>168</v>
      </c>
      <c r="K10" s="227">
        <f t="shared" si="13"/>
        <v>258</v>
      </c>
      <c r="L10" s="226">
        <v>92.56</v>
      </c>
      <c r="M10" s="228">
        <f t="shared" si="14"/>
        <v>182.56</v>
      </c>
      <c r="N10" s="226">
        <v>65</v>
      </c>
      <c r="O10" s="226">
        <v>197</v>
      </c>
      <c r="P10" s="183">
        <f t="shared" si="15"/>
        <v>0.92670050761421319</v>
      </c>
      <c r="Q10" s="226">
        <v>164</v>
      </c>
      <c r="R10" s="226">
        <v>5</v>
      </c>
      <c r="S10" s="229">
        <v>2670384</v>
      </c>
      <c r="T10" s="230">
        <f t="shared" ref="T10:T22" si="18">SUM(U10:V10)</f>
        <v>2670384</v>
      </c>
      <c r="U10" s="229">
        <v>2656100</v>
      </c>
      <c r="V10" s="229">
        <v>14284</v>
      </c>
      <c r="W10" s="185">
        <f t="shared" si="16"/>
        <v>5.3490434334537654E-3</v>
      </c>
    </row>
    <row r="11" spans="1:220" s="231" customFormat="1">
      <c r="A11" s="236" t="s">
        <v>80</v>
      </c>
      <c r="B11" s="226">
        <v>15</v>
      </c>
      <c r="C11" s="226">
        <v>4</v>
      </c>
      <c r="D11" s="227">
        <f t="shared" si="17"/>
        <v>19</v>
      </c>
      <c r="E11" s="227">
        <f t="shared" si="11"/>
        <v>15</v>
      </c>
      <c r="F11" s="227">
        <f t="shared" si="12"/>
        <v>12</v>
      </c>
      <c r="G11" s="113"/>
      <c r="H11" s="113"/>
      <c r="I11" s="226">
        <v>94</v>
      </c>
      <c r="J11" s="226">
        <v>205</v>
      </c>
      <c r="K11" s="227">
        <f t="shared" si="13"/>
        <v>299</v>
      </c>
      <c r="L11" s="226">
        <v>114.91</v>
      </c>
      <c r="M11" s="228">
        <f t="shared" si="14"/>
        <v>208.91</v>
      </c>
      <c r="N11" s="226">
        <v>44</v>
      </c>
      <c r="O11" s="226">
        <v>225</v>
      </c>
      <c r="P11" s="183">
        <f t="shared" si="15"/>
        <v>0.92848888888888892</v>
      </c>
      <c r="Q11" s="226">
        <v>189</v>
      </c>
      <c r="R11" s="226">
        <v>5</v>
      </c>
      <c r="S11" s="229">
        <v>2929988</v>
      </c>
      <c r="T11" s="230">
        <f t="shared" si="18"/>
        <v>2929988</v>
      </c>
      <c r="U11" s="229">
        <v>2915198</v>
      </c>
      <c r="V11" s="229">
        <v>14790</v>
      </c>
      <c r="W11" s="185">
        <f t="shared" si="16"/>
        <v>5.0478022435586764E-3</v>
      </c>
    </row>
    <row r="12" spans="1:220" s="231" customFormat="1">
      <c r="A12" s="236" t="s">
        <v>86</v>
      </c>
      <c r="B12" s="226">
        <v>18</v>
      </c>
      <c r="C12" s="226">
        <v>6</v>
      </c>
      <c r="D12" s="227">
        <f t="shared" si="17"/>
        <v>24</v>
      </c>
      <c r="E12" s="228">
        <f t="shared" si="11"/>
        <v>13</v>
      </c>
      <c r="F12" s="228">
        <f t="shared" si="12"/>
        <v>10</v>
      </c>
      <c r="G12" s="113"/>
      <c r="H12" s="113"/>
      <c r="I12" s="226">
        <v>110</v>
      </c>
      <c r="J12" s="226">
        <v>273</v>
      </c>
      <c r="K12" s="227">
        <f t="shared" si="13"/>
        <v>383</v>
      </c>
      <c r="L12" s="226">
        <v>111.17</v>
      </c>
      <c r="M12" s="228">
        <f t="shared" si="14"/>
        <v>221.17000000000002</v>
      </c>
      <c r="N12" s="226">
        <v>52</v>
      </c>
      <c r="O12" s="226">
        <v>233.67000000000002</v>
      </c>
      <c r="P12" s="183">
        <f t="shared" si="15"/>
        <v>0.94650575598065645</v>
      </c>
      <c r="Q12" s="226">
        <v>210</v>
      </c>
      <c r="R12" s="226">
        <v>0</v>
      </c>
      <c r="S12" s="229">
        <v>2935821</v>
      </c>
      <c r="T12" s="230">
        <f t="shared" si="18"/>
        <v>2935821</v>
      </c>
      <c r="U12" s="229">
        <v>2911027</v>
      </c>
      <c r="V12" s="229">
        <v>24794</v>
      </c>
      <c r="W12" s="185">
        <f t="shared" si="16"/>
        <v>8.4453377777459863E-3</v>
      </c>
    </row>
    <row r="13" spans="1:220" s="231" customFormat="1">
      <c r="A13" s="236" t="s">
        <v>81</v>
      </c>
      <c r="B13" s="226">
        <v>16</v>
      </c>
      <c r="C13" s="226">
        <v>10</v>
      </c>
      <c r="D13" s="227">
        <f t="shared" si="17"/>
        <v>26</v>
      </c>
      <c r="E13" s="228">
        <f t="shared" si="11"/>
        <v>21</v>
      </c>
      <c r="F13" s="228">
        <f t="shared" si="12"/>
        <v>13</v>
      </c>
      <c r="G13" s="113"/>
      <c r="H13" s="113"/>
      <c r="I13" s="226">
        <v>141</v>
      </c>
      <c r="J13" s="226">
        <v>311</v>
      </c>
      <c r="K13" s="227">
        <f t="shared" si="13"/>
        <v>452</v>
      </c>
      <c r="L13" s="226">
        <v>173</v>
      </c>
      <c r="M13" s="228">
        <f t="shared" si="14"/>
        <v>314</v>
      </c>
      <c r="N13" s="226">
        <v>53</v>
      </c>
      <c r="O13" s="226">
        <v>340.66</v>
      </c>
      <c r="P13" s="183">
        <f t="shared" si="15"/>
        <v>0.92174015147067445</v>
      </c>
      <c r="Q13" s="226">
        <v>256</v>
      </c>
      <c r="R13" s="226">
        <v>0</v>
      </c>
      <c r="S13" s="229">
        <v>3000412</v>
      </c>
      <c r="T13" s="230">
        <f t="shared" si="18"/>
        <v>3000412</v>
      </c>
      <c r="U13" s="229">
        <v>2970042</v>
      </c>
      <c r="V13" s="229">
        <v>30370</v>
      </c>
      <c r="W13" s="185">
        <f t="shared" si="16"/>
        <v>1.0121943253126571E-2</v>
      </c>
    </row>
    <row r="14" spans="1:220" s="231" customFormat="1">
      <c r="A14" s="236" t="s">
        <v>82</v>
      </c>
      <c r="B14" s="226">
        <v>19</v>
      </c>
      <c r="C14" s="226">
        <v>8.67</v>
      </c>
      <c r="D14" s="227">
        <f t="shared" si="17"/>
        <v>27.67</v>
      </c>
      <c r="E14" s="228">
        <f t="shared" si="11"/>
        <v>22</v>
      </c>
      <c r="F14" s="228">
        <f t="shared" si="12"/>
        <v>15</v>
      </c>
      <c r="G14" s="113"/>
      <c r="H14" s="113"/>
      <c r="I14" s="226">
        <v>159</v>
      </c>
      <c r="J14" s="226">
        <v>364</v>
      </c>
      <c r="K14" s="227">
        <f t="shared" si="13"/>
        <v>523</v>
      </c>
      <c r="L14" s="226">
        <v>243.88</v>
      </c>
      <c r="M14" s="228">
        <f t="shared" si="14"/>
        <v>402.88</v>
      </c>
      <c r="N14" s="226">
        <v>73</v>
      </c>
      <c r="O14" s="226">
        <v>418.96</v>
      </c>
      <c r="P14" s="183">
        <f t="shared" si="15"/>
        <v>0.96161924766087459</v>
      </c>
      <c r="Q14" s="226">
        <v>237</v>
      </c>
      <c r="R14" s="226">
        <v>0</v>
      </c>
      <c r="S14" s="229">
        <v>2743106</v>
      </c>
      <c r="T14" s="230">
        <f t="shared" si="18"/>
        <v>2743106</v>
      </c>
      <c r="U14" s="229">
        <v>2666424</v>
      </c>
      <c r="V14" s="229">
        <v>76682</v>
      </c>
      <c r="W14" s="185">
        <f t="shared" si="16"/>
        <v>2.7954442883359229E-2</v>
      </c>
    </row>
    <row r="15" spans="1:220" s="231" customFormat="1">
      <c r="A15" s="236" t="s">
        <v>83</v>
      </c>
      <c r="B15" s="226">
        <v>17</v>
      </c>
      <c r="C15" s="226">
        <v>8.33</v>
      </c>
      <c r="D15" s="227">
        <f t="shared" si="17"/>
        <v>25.33</v>
      </c>
      <c r="E15" s="228">
        <f t="shared" si="11"/>
        <v>20</v>
      </c>
      <c r="F15" s="228">
        <f t="shared" si="12"/>
        <v>13</v>
      </c>
      <c r="G15" s="113"/>
      <c r="H15" s="113"/>
      <c r="I15" s="226">
        <v>161</v>
      </c>
      <c r="J15" s="226">
        <v>340</v>
      </c>
      <c r="K15" s="227">
        <f t="shared" si="13"/>
        <v>501</v>
      </c>
      <c r="L15" s="226">
        <v>157.62</v>
      </c>
      <c r="M15" s="228">
        <f t="shared" si="14"/>
        <v>318.62</v>
      </c>
      <c r="N15" s="226">
        <v>74</v>
      </c>
      <c r="O15" s="226">
        <v>332.9</v>
      </c>
      <c r="P15" s="183">
        <f t="shared" si="15"/>
        <v>0.95710423550615809</v>
      </c>
      <c r="Q15" s="226">
        <v>209</v>
      </c>
      <c r="R15" s="226">
        <v>2</v>
      </c>
      <c r="S15" s="229">
        <v>2755878</v>
      </c>
      <c r="T15" s="230">
        <f t="shared" si="18"/>
        <v>2755878</v>
      </c>
      <c r="U15" s="229">
        <v>2598663</v>
      </c>
      <c r="V15" s="229">
        <v>157215</v>
      </c>
      <c r="W15" s="185">
        <f t="shared" si="16"/>
        <v>5.7047155207886564E-2</v>
      </c>
    </row>
    <row r="16" spans="1:220" s="231" customFormat="1">
      <c r="A16" s="236" t="s">
        <v>84</v>
      </c>
      <c r="B16" s="226">
        <v>17</v>
      </c>
      <c r="C16" s="226">
        <v>7</v>
      </c>
      <c r="D16" s="227">
        <f t="shared" si="17"/>
        <v>24</v>
      </c>
      <c r="E16" s="228">
        <f t="shared" si="11"/>
        <v>16</v>
      </c>
      <c r="F16" s="228">
        <f t="shared" si="12"/>
        <v>11</v>
      </c>
      <c r="G16" s="113"/>
      <c r="H16" s="113"/>
      <c r="I16" s="226">
        <v>125</v>
      </c>
      <c r="J16" s="226">
        <v>366</v>
      </c>
      <c r="K16" s="227">
        <f t="shared" si="13"/>
        <v>491</v>
      </c>
      <c r="L16" s="226">
        <v>145.30000000000001</v>
      </c>
      <c r="M16" s="228">
        <f t="shared" si="14"/>
        <v>270.3</v>
      </c>
      <c r="N16" s="226">
        <v>61</v>
      </c>
      <c r="O16" s="226">
        <v>275.3</v>
      </c>
      <c r="P16" s="183">
        <f t="shared" si="15"/>
        <v>0.98183799491463852</v>
      </c>
      <c r="Q16" s="226">
        <v>252</v>
      </c>
      <c r="R16" s="226">
        <v>1</v>
      </c>
      <c r="S16" s="229">
        <v>2619264</v>
      </c>
      <c r="T16" s="230">
        <f t="shared" si="18"/>
        <v>2619264</v>
      </c>
      <c r="U16" s="229">
        <v>2491020</v>
      </c>
      <c r="V16" s="229">
        <v>128244</v>
      </c>
      <c r="W16" s="185">
        <f t="shared" si="16"/>
        <v>4.8961845770414895E-2</v>
      </c>
    </row>
    <row r="17" spans="1:24" s="235" customFormat="1">
      <c r="A17" s="236">
        <v>2007</v>
      </c>
      <c r="B17" s="226">
        <v>16</v>
      </c>
      <c r="C17" s="226">
        <v>9.66</v>
      </c>
      <c r="D17" s="232">
        <f t="shared" si="17"/>
        <v>25.66</v>
      </c>
      <c r="E17" s="228">
        <f t="shared" si="11"/>
        <v>18</v>
      </c>
      <c r="F17" s="228">
        <f t="shared" si="12"/>
        <v>11</v>
      </c>
      <c r="G17" s="113"/>
      <c r="H17" s="113"/>
      <c r="I17" s="226">
        <v>124</v>
      </c>
      <c r="J17" s="226">
        <v>479</v>
      </c>
      <c r="K17" s="232">
        <f t="shared" si="13"/>
        <v>603</v>
      </c>
      <c r="L17" s="226">
        <v>159.66</v>
      </c>
      <c r="M17" s="228">
        <f t="shared" si="14"/>
        <v>283.65999999999997</v>
      </c>
      <c r="N17" s="226">
        <v>61</v>
      </c>
      <c r="O17" s="226">
        <v>290</v>
      </c>
      <c r="P17" s="183">
        <f t="shared" si="15"/>
        <v>0.97813793103448265</v>
      </c>
      <c r="Q17" s="226">
        <v>288</v>
      </c>
      <c r="R17" s="226">
        <v>0</v>
      </c>
      <c r="S17" s="233">
        <v>2474956</v>
      </c>
      <c r="T17" s="230">
        <f t="shared" si="18"/>
        <v>2474956</v>
      </c>
      <c r="U17" s="233">
        <v>2432985</v>
      </c>
      <c r="V17" s="233">
        <v>41971</v>
      </c>
      <c r="W17" s="185">
        <f t="shared" si="16"/>
        <v>1.695828127853586E-2</v>
      </c>
      <c r="X17" s="234"/>
    </row>
    <row r="18" spans="1:24" s="235" customFormat="1">
      <c r="A18" s="236">
        <v>2006</v>
      </c>
      <c r="B18" s="226">
        <v>16</v>
      </c>
      <c r="C18" s="226">
        <v>9</v>
      </c>
      <c r="D18" s="232">
        <f t="shared" si="17"/>
        <v>25</v>
      </c>
      <c r="E18" s="228">
        <f t="shared" si="11"/>
        <v>28</v>
      </c>
      <c r="F18" s="228">
        <f t="shared" si="12"/>
        <v>18</v>
      </c>
      <c r="G18" s="113"/>
      <c r="H18" s="113"/>
      <c r="I18" s="226">
        <v>137</v>
      </c>
      <c r="J18" s="226">
        <v>584</v>
      </c>
      <c r="K18" s="232">
        <f t="shared" si="13"/>
        <v>721</v>
      </c>
      <c r="L18" s="226">
        <v>301</v>
      </c>
      <c r="M18" s="228">
        <f t="shared" si="14"/>
        <v>438</v>
      </c>
      <c r="N18" s="226">
        <v>43</v>
      </c>
      <c r="O18" s="226">
        <v>447</v>
      </c>
      <c r="P18" s="183">
        <f t="shared" si="15"/>
        <v>0.97986577181208057</v>
      </c>
      <c r="Q18" s="226">
        <v>278</v>
      </c>
      <c r="R18" s="226">
        <v>0</v>
      </c>
      <c r="S18" s="233">
        <v>2424187</v>
      </c>
      <c r="T18" s="230">
        <f t="shared" si="18"/>
        <v>2424187</v>
      </c>
      <c r="U18" s="233">
        <v>2407550</v>
      </c>
      <c r="V18" s="233">
        <v>16637</v>
      </c>
      <c r="W18" s="185">
        <f t="shared" si="16"/>
        <v>6.8629194034948628E-3</v>
      </c>
      <c r="X18" s="234"/>
    </row>
    <row r="19" spans="1:24" s="235" customFormat="1">
      <c r="A19" s="236">
        <v>2005</v>
      </c>
      <c r="B19" s="226">
        <v>15</v>
      </c>
      <c r="C19" s="226">
        <v>11</v>
      </c>
      <c r="D19" s="232">
        <f t="shared" si="17"/>
        <v>26</v>
      </c>
      <c r="E19" s="228">
        <f t="shared" si="11"/>
        <v>30</v>
      </c>
      <c r="F19" s="228">
        <f t="shared" si="12"/>
        <v>18</v>
      </c>
      <c r="G19" s="113"/>
      <c r="H19" s="113"/>
      <c r="I19" s="226">
        <v>157</v>
      </c>
      <c r="J19" s="226">
        <v>586</v>
      </c>
      <c r="K19" s="232">
        <f t="shared" si="13"/>
        <v>743</v>
      </c>
      <c r="L19" s="226">
        <v>295</v>
      </c>
      <c r="M19" s="228">
        <f t="shared" si="14"/>
        <v>452</v>
      </c>
      <c r="N19" s="226">
        <v>25</v>
      </c>
      <c r="O19" s="226">
        <v>456</v>
      </c>
      <c r="P19" s="183">
        <f t="shared" si="15"/>
        <v>0.99122807017543857</v>
      </c>
      <c r="Q19" s="226">
        <v>186</v>
      </c>
      <c r="R19" s="226">
        <v>0</v>
      </c>
      <c r="S19" s="233">
        <v>2370830</v>
      </c>
      <c r="T19" s="230">
        <f t="shared" si="18"/>
        <v>2370830</v>
      </c>
      <c r="U19" s="233">
        <v>2341793</v>
      </c>
      <c r="V19" s="233">
        <v>29037</v>
      </c>
      <c r="W19" s="185">
        <f t="shared" si="16"/>
        <v>1.2247609486972916E-2</v>
      </c>
      <c r="X19" s="234"/>
    </row>
    <row r="20" spans="1:24" s="231" customFormat="1">
      <c r="A20" s="236">
        <v>2004</v>
      </c>
      <c r="B20" s="237">
        <v>13</v>
      </c>
      <c r="C20" s="237">
        <v>9</v>
      </c>
      <c r="D20" s="232">
        <f t="shared" si="17"/>
        <v>22</v>
      </c>
      <c r="E20" s="228">
        <f t="shared" si="11"/>
        <v>35</v>
      </c>
      <c r="F20" s="228">
        <f t="shared" si="12"/>
        <v>21</v>
      </c>
      <c r="G20" s="113"/>
      <c r="H20" s="113"/>
      <c r="I20" s="237">
        <v>127</v>
      </c>
      <c r="J20" s="237">
        <v>639</v>
      </c>
      <c r="K20" s="232">
        <f t="shared" si="13"/>
        <v>766</v>
      </c>
      <c r="L20" s="237">
        <v>328</v>
      </c>
      <c r="M20" s="228">
        <f t="shared" si="14"/>
        <v>455</v>
      </c>
      <c r="N20" s="237">
        <v>31</v>
      </c>
      <c r="O20" s="237">
        <v>458</v>
      </c>
      <c r="P20" s="183">
        <f t="shared" si="15"/>
        <v>0.99344978165938869</v>
      </c>
      <c r="Q20" s="237">
        <v>151</v>
      </c>
      <c r="R20" s="226">
        <v>1</v>
      </c>
      <c r="S20" s="233">
        <v>2186181</v>
      </c>
      <c r="T20" s="230">
        <f t="shared" si="18"/>
        <v>2186181</v>
      </c>
      <c r="U20" s="233">
        <v>2153821</v>
      </c>
      <c r="V20" s="233">
        <v>32360</v>
      </c>
      <c r="W20" s="185">
        <f t="shared" si="16"/>
        <v>1.4802068081279637E-2</v>
      </c>
    </row>
    <row r="21" spans="1:24" s="231" customFormat="1">
      <c r="A21" s="236">
        <v>2003</v>
      </c>
      <c r="B21" s="237">
        <v>11</v>
      </c>
      <c r="C21" s="237">
        <v>12</v>
      </c>
      <c r="D21" s="232">
        <f t="shared" si="17"/>
        <v>23</v>
      </c>
      <c r="E21" s="228">
        <f t="shared" si="11"/>
        <v>40</v>
      </c>
      <c r="F21" s="228">
        <f t="shared" si="12"/>
        <v>19</v>
      </c>
      <c r="G21" s="113"/>
      <c r="H21" s="113"/>
      <c r="I21" s="237">
        <v>110</v>
      </c>
      <c r="J21" s="237">
        <v>620</v>
      </c>
      <c r="K21" s="232">
        <f t="shared" si="13"/>
        <v>730</v>
      </c>
      <c r="L21" s="237">
        <v>320</v>
      </c>
      <c r="M21" s="228">
        <f t="shared" si="14"/>
        <v>430</v>
      </c>
      <c r="N21" s="237">
        <v>26</v>
      </c>
      <c r="O21" s="237">
        <v>437</v>
      </c>
      <c r="P21" s="183">
        <f t="shared" si="15"/>
        <v>0.98398169336384445</v>
      </c>
      <c r="Q21" s="237">
        <v>160</v>
      </c>
      <c r="R21" s="226">
        <v>0</v>
      </c>
      <c r="S21" s="233">
        <v>1810467</v>
      </c>
      <c r="T21" s="230">
        <f t="shared" si="18"/>
        <v>1810467</v>
      </c>
      <c r="U21" s="233">
        <v>1732473</v>
      </c>
      <c r="V21" s="233">
        <v>77994</v>
      </c>
      <c r="W21" s="185">
        <f t="shared" si="16"/>
        <v>4.3079492749660726E-2</v>
      </c>
    </row>
    <row r="22" spans="1:24" s="231" customFormat="1">
      <c r="A22" s="236">
        <v>2002</v>
      </c>
      <c r="B22" s="237">
        <v>8</v>
      </c>
      <c r="C22" s="237">
        <v>9</v>
      </c>
      <c r="D22" s="232">
        <f t="shared" si="17"/>
        <v>17</v>
      </c>
      <c r="E22" s="228">
        <f t="shared" si="11"/>
        <v>51</v>
      </c>
      <c r="F22" s="228">
        <f t="shared" si="12"/>
        <v>24</v>
      </c>
      <c r="G22" s="113"/>
      <c r="H22" s="113"/>
      <c r="I22" s="237">
        <v>117</v>
      </c>
      <c r="J22" s="237">
        <v>546</v>
      </c>
      <c r="K22" s="232">
        <f t="shared" si="13"/>
        <v>663</v>
      </c>
      <c r="L22" s="237">
        <f>ROUND(280.2, 0)</f>
        <v>280</v>
      </c>
      <c r="M22" s="228">
        <f t="shared" si="14"/>
        <v>397</v>
      </c>
      <c r="N22" s="237">
        <v>33</v>
      </c>
      <c r="O22" s="237">
        <f>ROUND(408.14, 0)</f>
        <v>408</v>
      </c>
      <c r="P22" s="183">
        <f t="shared" si="15"/>
        <v>0.97303921568627449</v>
      </c>
      <c r="Q22" s="237">
        <v>192</v>
      </c>
      <c r="R22" s="226">
        <v>0</v>
      </c>
      <c r="S22" s="233">
        <v>1815919</v>
      </c>
      <c r="T22" s="230">
        <f t="shared" si="18"/>
        <v>1815919</v>
      </c>
      <c r="U22" s="233">
        <v>1669042</v>
      </c>
      <c r="V22" s="233">
        <v>146877</v>
      </c>
      <c r="W22" s="185">
        <f t="shared" si="16"/>
        <v>8.0883012953771621E-2</v>
      </c>
    </row>
    <row r="23" spans="1:24" s="76" customFormat="1" ht="65.25" customHeight="1">
      <c r="A23" s="655" t="s">
        <v>156</v>
      </c>
      <c r="B23" s="656"/>
      <c r="C23" s="656"/>
      <c r="D23" s="656"/>
      <c r="E23" s="656"/>
      <c r="F23" s="656"/>
      <c r="G23" s="656"/>
      <c r="H23" s="656"/>
      <c r="I23" s="656"/>
      <c r="J23" s="656"/>
      <c r="K23" s="656"/>
      <c r="L23" s="656"/>
      <c r="M23" s="656"/>
      <c r="N23" s="656"/>
      <c r="O23" s="656"/>
      <c r="P23" s="656"/>
      <c r="Q23" s="656"/>
      <c r="R23" s="656"/>
      <c r="S23" s="656"/>
      <c r="T23" s="656"/>
      <c r="U23" s="656"/>
      <c r="V23" s="656"/>
      <c r="W23" s="656"/>
    </row>
    <row r="24" spans="1:24" s="76" customFormat="1">
      <c r="A24" s="73"/>
      <c r="S24" s="13"/>
    </row>
    <row r="25" spans="1:24" s="76" customFormat="1"/>
    <row r="26" spans="1:24" s="76" customFormat="1">
      <c r="U26" s="13"/>
    </row>
    <row r="27" spans="1:24" s="76" customFormat="1"/>
    <row r="28" spans="1:24" s="76" customFormat="1">
      <c r="V28" s="13"/>
    </row>
    <row r="29" spans="1:24" s="76" customFormat="1"/>
    <row r="30" spans="1:24" s="76" customFormat="1"/>
    <row r="31" spans="1:24" s="76" customFormat="1"/>
    <row r="32" spans="1:24" s="76" customFormat="1"/>
    <row r="33" s="76" customFormat="1"/>
    <row r="34" s="76" customFormat="1"/>
  </sheetData>
  <mergeCells count="1">
    <mergeCell ref="A23:W23"/>
  </mergeCells>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L37"/>
  <sheetViews>
    <sheetView workbookViewId="0">
      <selection activeCell="J33" sqref="J33"/>
    </sheetView>
  </sheetViews>
  <sheetFormatPr defaultColWidth="8.85546875" defaultRowHeight="15"/>
  <cols>
    <col min="1" max="1" width="9.5703125" customWidth="1"/>
    <col min="2" max="2" width="10.28515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9" bestFit="1" customWidth="1"/>
    <col min="10" max="11" width="12" bestFit="1" customWidth="1"/>
    <col min="12" max="12" width="12.42578125" bestFit="1" customWidth="1"/>
    <col min="13" max="14" width="13.28515625" bestFit="1" customWidth="1"/>
    <col min="15" max="15" width="13.42578125" bestFit="1" customWidth="1"/>
    <col min="16" max="16" width="14.28515625" customWidth="1"/>
    <col min="17" max="17" width="12.42578125" bestFit="1" customWidth="1"/>
    <col min="18" max="18" width="9.140625" bestFit="1" customWidth="1"/>
    <col min="19" max="19" width="12" bestFit="1" customWidth="1"/>
    <col min="20" max="20" width="13" bestFit="1" customWidth="1"/>
    <col min="21" max="21" width="11.5703125" bestFit="1" customWidth="1"/>
    <col min="22" max="22" width="11" bestFit="1" customWidth="1"/>
    <col min="23" max="23" width="13" bestFit="1" customWidth="1"/>
    <col min="24" max="63" width="8.85546875" style="376"/>
  </cols>
  <sheetData>
    <row r="1" spans="1:220" s="1" customFormat="1" ht="18.75">
      <c r="A1" s="1" t="s">
        <v>48</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row>
    <row r="3" spans="1:220" s="442" customFormat="1">
      <c r="A3" s="417">
        <v>2021</v>
      </c>
      <c r="B3" s="412">
        <v>66</v>
      </c>
      <c r="C3" s="412">
        <v>9.25</v>
      </c>
      <c r="D3" s="437">
        <f>SUM(B3:C3)</f>
        <v>75.25</v>
      </c>
      <c r="E3" s="427">
        <f t="shared" ref="E3" si="0">ROUND((O3/B3), 0)</f>
        <v>32</v>
      </c>
      <c r="F3" s="427">
        <f t="shared" ref="F3" si="1">ROUND((O3/D3), 0)</f>
        <v>28</v>
      </c>
      <c r="G3" s="412">
        <v>35</v>
      </c>
      <c r="H3" s="412">
        <v>1.75</v>
      </c>
      <c r="I3" s="412">
        <v>33</v>
      </c>
      <c r="J3" s="412">
        <v>92</v>
      </c>
      <c r="K3" s="437">
        <f t="shared" ref="K3" si="2">SUM(I3:J3)</f>
        <v>125</v>
      </c>
      <c r="L3" s="412">
        <v>51.44</v>
      </c>
      <c r="M3" s="427">
        <f>(I3+L3)</f>
        <v>84.44</v>
      </c>
      <c r="N3" s="412">
        <v>26</v>
      </c>
      <c r="O3" s="412">
        <v>2089.9699999999998</v>
      </c>
      <c r="P3" s="438">
        <f t="shared" ref="P3" si="3">M3/O3</f>
        <v>4.0402493815700706E-2</v>
      </c>
      <c r="Q3" s="412">
        <v>55</v>
      </c>
      <c r="R3" s="412">
        <v>489</v>
      </c>
      <c r="S3" s="414">
        <v>28487021.670000009</v>
      </c>
      <c r="T3" s="439">
        <f t="shared" ref="T3" si="4">SUM(U3:V3)</f>
        <v>29475661.219999999</v>
      </c>
      <c r="U3" s="414">
        <v>24646084.210000001</v>
      </c>
      <c r="V3" s="414">
        <v>4829577.01</v>
      </c>
      <c r="W3" s="335">
        <f>V3/T3</f>
        <v>0.16384965799250695</v>
      </c>
      <c r="X3" s="516"/>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row>
    <row r="4" spans="1:220" s="442" customFormat="1">
      <c r="A4" s="417">
        <v>2020</v>
      </c>
      <c r="B4" s="412">
        <v>64</v>
      </c>
      <c r="C4" s="412">
        <v>9.83</v>
      </c>
      <c r="D4" s="437">
        <f>SUM(B4:C4)</f>
        <v>73.83</v>
      </c>
      <c r="E4" s="427">
        <f>ROUND((O4/B4), 0)</f>
        <v>31</v>
      </c>
      <c r="F4" s="427">
        <f>ROUND((O4/D4), 0)</f>
        <v>27</v>
      </c>
      <c r="G4" s="412">
        <v>33</v>
      </c>
      <c r="H4" s="412">
        <v>1.75</v>
      </c>
      <c r="I4" s="412">
        <v>33</v>
      </c>
      <c r="J4" s="412">
        <v>89</v>
      </c>
      <c r="K4" s="437">
        <f t="shared" ref="K4" si="5">SUM(I4:J4)</f>
        <v>122</v>
      </c>
      <c r="L4" s="412">
        <v>48.75</v>
      </c>
      <c r="M4" s="427">
        <f>(I4+L4)</f>
        <v>81.75</v>
      </c>
      <c r="N4" s="412">
        <v>19</v>
      </c>
      <c r="O4" s="412">
        <v>1973.29</v>
      </c>
      <c r="P4" s="438">
        <f t="shared" ref="P4" si="6">M4/O4</f>
        <v>4.1428274607381584E-2</v>
      </c>
      <c r="Q4" s="412">
        <v>49</v>
      </c>
      <c r="R4" s="412">
        <v>346</v>
      </c>
      <c r="S4" s="414">
        <v>27886917</v>
      </c>
      <c r="T4" s="439">
        <f>SUM(U4:V4)</f>
        <v>28399247</v>
      </c>
      <c r="U4" s="414">
        <v>25148403</v>
      </c>
      <c r="V4" s="414">
        <v>3250844</v>
      </c>
      <c r="W4" s="335">
        <f>V4/T4</f>
        <v>0.1144693730788003</v>
      </c>
      <c r="X4" s="516"/>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row>
    <row r="5" spans="1:220" s="442" customFormat="1">
      <c r="A5" s="417">
        <v>2019</v>
      </c>
      <c r="B5" s="412">
        <v>59</v>
      </c>
      <c r="C5" s="412">
        <v>12.25</v>
      </c>
      <c r="D5" s="437">
        <f>SUM(B5:C5)</f>
        <v>71.25</v>
      </c>
      <c r="E5" s="427">
        <f>ROUND((O5/B5), 0)</f>
        <v>33</v>
      </c>
      <c r="F5" s="427">
        <f>ROUND((O5/D5), 0)</f>
        <v>27</v>
      </c>
      <c r="G5" s="412">
        <v>32</v>
      </c>
      <c r="H5" s="412">
        <v>0.5</v>
      </c>
      <c r="I5" s="412">
        <v>28</v>
      </c>
      <c r="J5" s="412">
        <v>112</v>
      </c>
      <c r="K5" s="437">
        <f>SUM(I5:J5)</f>
        <v>140</v>
      </c>
      <c r="L5" s="412">
        <v>61.4</v>
      </c>
      <c r="M5" s="427">
        <f>(I5+L5)</f>
        <v>89.4</v>
      </c>
      <c r="N5" s="412">
        <v>29</v>
      </c>
      <c r="O5" s="412">
        <v>1919.2</v>
      </c>
      <c r="P5" s="438">
        <f>M5/O5</f>
        <v>4.6581909128803667E-2</v>
      </c>
      <c r="Q5" s="412">
        <v>79</v>
      </c>
      <c r="R5" s="412">
        <v>314</v>
      </c>
      <c r="S5" s="414">
        <v>21952616</v>
      </c>
      <c r="T5" s="439">
        <f>SUM(U5:V5)</f>
        <v>22686400</v>
      </c>
      <c r="U5" s="414">
        <v>19137039</v>
      </c>
      <c r="V5" s="414">
        <f>3445070+104291</f>
        <v>3549361</v>
      </c>
      <c r="W5" s="335">
        <f>V5/T5</f>
        <v>0.15645324952394385</v>
      </c>
      <c r="X5" s="440"/>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row>
    <row r="6" spans="1:220" s="17" customFormat="1">
      <c r="A6" s="33">
        <v>2018</v>
      </c>
      <c r="B6" s="20">
        <v>57</v>
      </c>
      <c r="C6" s="20">
        <v>9.6999999999999993</v>
      </c>
      <c r="D6" s="29">
        <f>SUM(B6:C6)</f>
        <v>66.7</v>
      </c>
      <c r="E6" s="172">
        <f>ROUND((O6/B6), 0)</f>
        <v>29</v>
      </c>
      <c r="F6" s="172">
        <f>ROUND((O6/D6), 0)</f>
        <v>25</v>
      </c>
      <c r="G6" s="20">
        <v>29</v>
      </c>
      <c r="H6" s="20">
        <v>0.5</v>
      </c>
      <c r="I6" s="20">
        <v>39</v>
      </c>
      <c r="J6" s="20">
        <v>129</v>
      </c>
      <c r="K6" s="29">
        <f t="shared" ref="K6" si="7">SUM(I6:J6)</f>
        <v>168</v>
      </c>
      <c r="L6" s="20">
        <v>69.400000000000006</v>
      </c>
      <c r="M6" s="172">
        <f>(I6+L6)</f>
        <v>108.4</v>
      </c>
      <c r="N6" s="20">
        <v>30</v>
      </c>
      <c r="O6" s="20">
        <v>1636.5</v>
      </c>
      <c r="P6" s="183">
        <f>M6/O6</f>
        <v>6.6238924534066615E-2</v>
      </c>
      <c r="Q6" s="20">
        <v>80</v>
      </c>
      <c r="R6" s="20">
        <v>299</v>
      </c>
      <c r="S6" s="24">
        <v>23068370</v>
      </c>
      <c r="T6" s="30">
        <f>SUM(U6:V6)</f>
        <v>23269671.620000001</v>
      </c>
      <c r="U6" s="24">
        <v>18157653.620000001</v>
      </c>
      <c r="V6" s="24">
        <f>5044018+68000</f>
        <v>5112018</v>
      </c>
      <c r="W6" s="185">
        <f>V6/T6</f>
        <v>0.21968586765987203</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60</v>
      </c>
      <c r="C7" s="20">
        <v>7.83</v>
      </c>
      <c r="D7" s="34">
        <f>SUM(B7:C7)</f>
        <v>67.83</v>
      </c>
      <c r="E7" s="34">
        <f>ROUND((O7/B7), 0)</f>
        <v>25</v>
      </c>
      <c r="F7" s="34">
        <f>ROUND((O7/D7), 0)</f>
        <v>22</v>
      </c>
      <c r="G7" s="20">
        <v>28</v>
      </c>
      <c r="H7" s="20">
        <v>0</v>
      </c>
      <c r="I7" s="20">
        <v>52</v>
      </c>
      <c r="J7" s="20">
        <v>127</v>
      </c>
      <c r="K7" s="34">
        <f>SUM(I7:J7)</f>
        <v>179</v>
      </c>
      <c r="L7" s="20">
        <v>68.7</v>
      </c>
      <c r="M7" s="36">
        <f>(I7+L7)</f>
        <v>120.7</v>
      </c>
      <c r="N7" s="344">
        <v>32</v>
      </c>
      <c r="O7" s="344">
        <v>1470</v>
      </c>
      <c r="P7" s="183">
        <f t="shared" ref="P7:P22" si="8">M7/O7</f>
        <v>8.2108843537414974E-2</v>
      </c>
      <c r="Q7" s="20">
        <v>99</v>
      </c>
      <c r="R7" s="20">
        <v>323</v>
      </c>
      <c r="S7" s="300">
        <v>22020540</v>
      </c>
      <c r="T7" s="35">
        <f>SUM(U7:V7)</f>
        <v>22020541</v>
      </c>
      <c r="U7" s="341">
        <v>17807720</v>
      </c>
      <c r="V7" s="24">
        <v>4212821</v>
      </c>
      <c r="W7" s="185">
        <f t="shared" ref="W7:W22" si="9">V7/T7</f>
        <v>0.19131323794451735</v>
      </c>
    </row>
    <row r="8" spans="1:220" s="78" customFormat="1">
      <c r="A8" s="95">
        <v>2016</v>
      </c>
      <c r="B8" s="63">
        <v>67</v>
      </c>
      <c r="C8" s="63">
        <v>8.33</v>
      </c>
      <c r="D8" s="81">
        <f>B8+C8</f>
        <v>75.33</v>
      </c>
      <c r="E8" s="82">
        <f>ROUND((O8/B8), 0)</f>
        <v>21</v>
      </c>
      <c r="F8" s="82">
        <f>ROUND((O8/D8), 0)</f>
        <v>19</v>
      </c>
      <c r="G8" s="63">
        <v>33</v>
      </c>
      <c r="H8" s="63">
        <v>0.75</v>
      </c>
      <c r="I8" s="63">
        <v>51</v>
      </c>
      <c r="J8" s="63">
        <v>150</v>
      </c>
      <c r="K8" s="81">
        <f>I8+J8</f>
        <v>201</v>
      </c>
      <c r="L8" s="63">
        <v>80.334000000000003</v>
      </c>
      <c r="M8" s="82">
        <f>I8+L8</f>
        <v>131.334</v>
      </c>
      <c r="N8" s="91">
        <v>42</v>
      </c>
      <c r="O8" s="63">
        <v>1399.277</v>
      </c>
      <c r="P8" s="183">
        <f t="shared" si="8"/>
        <v>9.3858471196196322E-2</v>
      </c>
      <c r="Q8" s="63">
        <v>119</v>
      </c>
      <c r="R8" s="63">
        <v>294</v>
      </c>
      <c r="S8" s="69">
        <v>24201393</v>
      </c>
      <c r="T8" s="85">
        <f>SUM(U8:V8)</f>
        <v>19283320</v>
      </c>
      <c r="U8" s="69">
        <v>14692133</v>
      </c>
      <c r="V8" s="69">
        <v>4591187</v>
      </c>
      <c r="W8" s="185">
        <f t="shared" si="9"/>
        <v>0.23809110671813774</v>
      </c>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row>
    <row r="9" spans="1:220" s="79" customFormat="1">
      <c r="A9" s="90">
        <v>2015</v>
      </c>
      <c r="B9" s="91">
        <v>15</v>
      </c>
      <c r="C9" s="91">
        <v>12</v>
      </c>
      <c r="D9" s="81">
        <v>27</v>
      </c>
      <c r="E9" s="81">
        <v>96.3</v>
      </c>
      <c r="F9" s="81">
        <v>53.5</v>
      </c>
      <c r="G9" s="111"/>
      <c r="H9" s="111"/>
      <c r="I9" s="91">
        <v>63</v>
      </c>
      <c r="J9" s="91">
        <v>197</v>
      </c>
      <c r="K9" s="81">
        <v>260</v>
      </c>
      <c r="L9" s="91">
        <v>105</v>
      </c>
      <c r="M9" s="81">
        <v>168.33</v>
      </c>
      <c r="N9" s="91">
        <v>41</v>
      </c>
      <c r="O9" s="91">
        <v>1444.19</v>
      </c>
      <c r="P9" s="183">
        <f t="shared" si="8"/>
        <v>0.11655668575464448</v>
      </c>
      <c r="Q9" s="91">
        <v>150</v>
      </c>
      <c r="R9" s="91">
        <v>346</v>
      </c>
      <c r="S9" s="102">
        <v>25838638</v>
      </c>
      <c r="T9" s="103">
        <v>18841419</v>
      </c>
      <c r="U9" s="102">
        <v>13130230</v>
      </c>
      <c r="V9" s="102">
        <v>5711189</v>
      </c>
      <c r="W9" s="185">
        <f t="shared" si="9"/>
        <v>0.30311883621928898</v>
      </c>
    </row>
    <row r="10" spans="1:220" s="71" customFormat="1">
      <c r="A10" s="90">
        <v>2014</v>
      </c>
      <c r="B10" s="91">
        <v>18</v>
      </c>
      <c r="C10" s="91">
        <v>22.92</v>
      </c>
      <c r="D10" s="81">
        <f>B10+C10</f>
        <v>40.92</v>
      </c>
      <c r="E10" s="82">
        <f t="shared" ref="E10:E22" si="10">ROUND((O10/B10), 0)</f>
        <v>81</v>
      </c>
      <c r="F10" s="82">
        <f t="shared" ref="F10:F22" si="11">ROUND((O10/D10), 0)</f>
        <v>36</v>
      </c>
      <c r="G10" s="111"/>
      <c r="H10" s="111"/>
      <c r="I10" s="91">
        <v>68</v>
      </c>
      <c r="J10" s="91">
        <v>264</v>
      </c>
      <c r="K10" s="81">
        <f>I10+J10</f>
        <v>332</v>
      </c>
      <c r="L10" s="91">
        <v>142.66999999999999</v>
      </c>
      <c r="M10" s="82">
        <f>I10+L10</f>
        <v>210.67</v>
      </c>
      <c r="N10" s="91">
        <v>50</v>
      </c>
      <c r="O10" s="91">
        <v>1463</v>
      </c>
      <c r="P10" s="183">
        <f t="shared" si="8"/>
        <v>0.14399863294600135</v>
      </c>
      <c r="Q10" s="91">
        <v>207</v>
      </c>
      <c r="R10" s="91">
        <v>337</v>
      </c>
      <c r="S10" s="92">
        <v>19142049</v>
      </c>
      <c r="T10" s="85">
        <f t="shared" ref="T10:T22" si="12">SUM(U10:V10)</f>
        <v>17314181</v>
      </c>
      <c r="U10" s="92">
        <v>12718298</v>
      </c>
      <c r="V10" s="92">
        <v>4595883</v>
      </c>
      <c r="W10" s="185">
        <f t="shared" si="9"/>
        <v>0.26544039247366075</v>
      </c>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row>
    <row r="11" spans="1:220" s="71" customFormat="1">
      <c r="A11" s="90">
        <v>2013</v>
      </c>
      <c r="B11" s="353">
        <v>20</v>
      </c>
      <c r="C11" s="353">
        <v>16.079999999999998</v>
      </c>
      <c r="D11" s="108">
        <f>B11+C11</f>
        <v>36.08</v>
      </c>
      <c r="E11" s="109">
        <f t="shared" si="10"/>
        <v>74</v>
      </c>
      <c r="F11" s="109">
        <f t="shared" si="11"/>
        <v>41</v>
      </c>
      <c r="G11" s="113"/>
      <c r="H11" s="113"/>
      <c r="I11" s="353">
        <v>113</v>
      </c>
      <c r="J11" s="353">
        <v>305</v>
      </c>
      <c r="K11" s="108">
        <f>I11+J11</f>
        <v>418</v>
      </c>
      <c r="L11" s="353">
        <v>163</v>
      </c>
      <c r="M11" s="109">
        <f>I11+L11</f>
        <v>276</v>
      </c>
      <c r="N11" s="353">
        <v>44</v>
      </c>
      <c r="O11" s="353">
        <v>1481.91</v>
      </c>
      <c r="P11" s="183">
        <f t="shared" si="8"/>
        <v>0.18624612830738707</v>
      </c>
      <c r="Q11" s="353">
        <v>234</v>
      </c>
      <c r="R11" s="353">
        <v>154</v>
      </c>
      <c r="S11" s="112">
        <v>18134226</v>
      </c>
      <c r="T11" s="110">
        <f t="shared" si="12"/>
        <v>16298871</v>
      </c>
      <c r="U11" s="112">
        <v>12502055</v>
      </c>
      <c r="V11" s="112">
        <v>3796816</v>
      </c>
      <c r="W11" s="185">
        <f t="shared" si="9"/>
        <v>0.23294963191008752</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row>
    <row r="12" spans="1:220" s="71" customFormat="1">
      <c r="A12" s="90">
        <v>2012</v>
      </c>
      <c r="B12" s="353">
        <v>49</v>
      </c>
      <c r="C12" s="353">
        <v>4.7</v>
      </c>
      <c r="D12" s="108">
        <f>B12+C12</f>
        <v>53.7</v>
      </c>
      <c r="E12" s="109">
        <f t="shared" si="10"/>
        <v>11</v>
      </c>
      <c r="F12" s="109">
        <f t="shared" si="11"/>
        <v>10</v>
      </c>
      <c r="G12" s="113"/>
      <c r="H12" s="113"/>
      <c r="I12" s="353">
        <v>159</v>
      </c>
      <c r="J12" s="353">
        <v>376</v>
      </c>
      <c r="K12" s="108">
        <f>I12+J12</f>
        <v>535</v>
      </c>
      <c r="L12" s="353">
        <v>201.39999999999998</v>
      </c>
      <c r="M12" s="109">
        <f>I12+L12</f>
        <v>360.4</v>
      </c>
      <c r="N12" s="353">
        <v>58</v>
      </c>
      <c r="O12" s="353">
        <v>524.4</v>
      </c>
      <c r="P12" s="183">
        <f t="shared" si="8"/>
        <v>0.68726163234172388</v>
      </c>
      <c r="Q12" s="353">
        <v>282</v>
      </c>
      <c r="R12" s="353">
        <v>148</v>
      </c>
      <c r="S12" s="112">
        <v>14841530</v>
      </c>
      <c r="T12" s="110">
        <f t="shared" si="12"/>
        <v>14493241</v>
      </c>
      <c r="U12" s="112">
        <v>12498486</v>
      </c>
      <c r="V12" s="112">
        <v>1994755</v>
      </c>
      <c r="W12" s="185">
        <f t="shared" si="9"/>
        <v>0.13763346652415426</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row>
    <row r="13" spans="1:220" s="71" customFormat="1">
      <c r="A13" s="90" t="s">
        <v>81</v>
      </c>
      <c r="B13" s="353">
        <v>46</v>
      </c>
      <c r="C13" s="353">
        <v>4.25</v>
      </c>
      <c r="D13" s="108">
        <f t="shared" ref="D13:D22" si="13">SUM(B13:C13)</f>
        <v>50.25</v>
      </c>
      <c r="E13" s="109">
        <f t="shared" si="10"/>
        <v>18</v>
      </c>
      <c r="F13" s="109">
        <f t="shared" si="11"/>
        <v>17</v>
      </c>
      <c r="G13" s="113"/>
      <c r="H13" s="113"/>
      <c r="I13" s="353">
        <v>197</v>
      </c>
      <c r="J13" s="353">
        <v>426</v>
      </c>
      <c r="K13" s="108">
        <f t="shared" ref="K13:K22" si="14">SUM(I13:J13)</f>
        <v>623</v>
      </c>
      <c r="L13" s="353">
        <v>228.3</v>
      </c>
      <c r="M13" s="109">
        <f t="shared" ref="M13:M22" si="15">(I13+L13)</f>
        <v>425.3</v>
      </c>
      <c r="N13" s="353">
        <v>76</v>
      </c>
      <c r="O13" s="353">
        <v>841.7</v>
      </c>
      <c r="P13" s="183">
        <f t="shared" si="8"/>
        <v>0.50528691932992753</v>
      </c>
      <c r="Q13" s="353">
        <v>249</v>
      </c>
      <c r="R13" s="353">
        <v>147</v>
      </c>
      <c r="S13" s="112">
        <v>17871782</v>
      </c>
      <c r="T13" s="110">
        <f t="shared" si="12"/>
        <v>18207170</v>
      </c>
      <c r="U13" s="112">
        <v>12515066</v>
      </c>
      <c r="V13" s="112">
        <v>5692104</v>
      </c>
      <c r="W13" s="185">
        <f t="shared" si="9"/>
        <v>0.31262980463191148</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row>
    <row r="14" spans="1:220" s="71" customFormat="1">
      <c r="A14" s="90" t="s">
        <v>82</v>
      </c>
      <c r="B14" s="353">
        <v>45</v>
      </c>
      <c r="C14" s="353">
        <v>4.08</v>
      </c>
      <c r="D14" s="108">
        <f t="shared" si="13"/>
        <v>49.08</v>
      </c>
      <c r="E14" s="109">
        <f t="shared" si="10"/>
        <v>20</v>
      </c>
      <c r="F14" s="109">
        <f t="shared" si="11"/>
        <v>18</v>
      </c>
      <c r="G14" s="113"/>
      <c r="H14" s="113"/>
      <c r="I14" s="353">
        <v>214</v>
      </c>
      <c r="J14" s="353">
        <v>468</v>
      </c>
      <c r="K14" s="108">
        <f t="shared" si="14"/>
        <v>682</v>
      </c>
      <c r="L14" s="353">
        <v>267.3</v>
      </c>
      <c r="M14" s="109">
        <f t="shared" si="15"/>
        <v>481.3</v>
      </c>
      <c r="N14" s="353">
        <v>72</v>
      </c>
      <c r="O14" s="353">
        <v>894.8</v>
      </c>
      <c r="P14" s="183">
        <f t="shared" si="8"/>
        <v>0.53788556101922225</v>
      </c>
      <c r="Q14" s="353">
        <v>243</v>
      </c>
      <c r="R14" s="353">
        <v>145</v>
      </c>
      <c r="S14" s="112">
        <v>15082435.220000001</v>
      </c>
      <c r="T14" s="110">
        <f t="shared" si="12"/>
        <v>16339132</v>
      </c>
      <c r="U14" s="112">
        <v>11664083</v>
      </c>
      <c r="V14" s="112">
        <v>4675049</v>
      </c>
      <c r="W14" s="185">
        <f t="shared" si="9"/>
        <v>0.28612590925882719</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row>
    <row r="15" spans="1:220" s="71" customFormat="1">
      <c r="A15" s="90" t="s">
        <v>83</v>
      </c>
      <c r="B15" s="353">
        <v>39</v>
      </c>
      <c r="C15" s="353">
        <v>3.92</v>
      </c>
      <c r="D15" s="108">
        <f t="shared" si="13"/>
        <v>42.92</v>
      </c>
      <c r="E15" s="109">
        <f t="shared" si="10"/>
        <v>21</v>
      </c>
      <c r="F15" s="109">
        <f t="shared" si="11"/>
        <v>19</v>
      </c>
      <c r="G15" s="113"/>
      <c r="H15" s="113"/>
      <c r="I15" s="353">
        <v>213</v>
      </c>
      <c r="J15" s="353">
        <v>398</v>
      </c>
      <c r="K15" s="108">
        <f t="shared" si="14"/>
        <v>611</v>
      </c>
      <c r="L15" s="353">
        <v>204.8</v>
      </c>
      <c r="M15" s="109">
        <f t="shared" si="15"/>
        <v>417.8</v>
      </c>
      <c r="N15" s="353">
        <v>51</v>
      </c>
      <c r="O15" s="353">
        <v>832</v>
      </c>
      <c r="P15" s="183">
        <f t="shared" si="8"/>
        <v>0.50216346153846159</v>
      </c>
      <c r="Q15" s="353">
        <v>281</v>
      </c>
      <c r="R15" s="353">
        <v>143</v>
      </c>
      <c r="S15" s="112">
        <v>12822710.540000001</v>
      </c>
      <c r="T15" s="110">
        <f t="shared" si="12"/>
        <v>13955720</v>
      </c>
      <c r="U15" s="112">
        <v>7374542</v>
      </c>
      <c r="V15" s="112">
        <v>6581178</v>
      </c>
      <c r="W15" s="185">
        <f t="shared" si="9"/>
        <v>0.47157566933128497</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row>
    <row r="16" spans="1:220" s="71" customFormat="1">
      <c r="A16" s="90" t="s">
        <v>84</v>
      </c>
      <c r="B16" s="353">
        <v>38</v>
      </c>
      <c r="C16" s="353">
        <v>14.58</v>
      </c>
      <c r="D16" s="108">
        <f t="shared" si="13"/>
        <v>52.58</v>
      </c>
      <c r="E16" s="109">
        <f t="shared" si="10"/>
        <v>21</v>
      </c>
      <c r="F16" s="109">
        <f t="shared" si="11"/>
        <v>15</v>
      </c>
      <c r="G16" s="113"/>
      <c r="H16" s="113"/>
      <c r="I16" s="353">
        <v>175</v>
      </c>
      <c r="J16" s="353">
        <v>435</v>
      </c>
      <c r="K16" s="108">
        <f t="shared" si="14"/>
        <v>610</v>
      </c>
      <c r="L16" s="353">
        <v>224</v>
      </c>
      <c r="M16" s="109">
        <f t="shared" si="15"/>
        <v>399</v>
      </c>
      <c r="N16" s="353">
        <v>73</v>
      </c>
      <c r="O16" s="353">
        <v>780.54</v>
      </c>
      <c r="P16" s="183">
        <f t="shared" si="8"/>
        <v>0.51118456453224692</v>
      </c>
      <c r="Q16" s="353">
        <v>271</v>
      </c>
      <c r="R16" s="353">
        <v>167</v>
      </c>
      <c r="S16" s="112">
        <v>11169620</v>
      </c>
      <c r="T16" s="110">
        <f t="shared" si="12"/>
        <v>15700220</v>
      </c>
      <c r="U16" s="112">
        <v>6774844</v>
      </c>
      <c r="V16" s="112">
        <v>8925376</v>
      </c>
      <c r="W16" s="185">
        <f t="shared" si="9"/>
        <v>0.5684873205598393</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row>
    <row r="17" spans="1:63" s="71" customFormat="1">
      <c r="A17" s="90">
        <v>2007</v>
      </c>
      <c r="B17" s="353">
        <v>33</v>
      </c>
      <c r="C17" s="353">
        <v>17.75</v>
      </c>
      <c r="D17" s="194">
        <f t="shared" si="13"/>
        <v>50.75</v>
      </c>
      <c r="E17" s="109">
        <f t="shared" si="10"/>
        <v>26</v>
      </c>
      <c r="F17" s="109">
        <f t="shared" si="11"/>
        <v>17</v>
      </c>
      <c r="G17" s="113"/>
      <c r="H17" s="113"/>
      <c r="I17" s="353">
        <v>227</v>
      </c>
      <c r="J17" s="353">
        <v>566</v>
      </c>
      <c r="K17" s="194">
        <f t="shared" si="14"/>
        <v>793</v>
      </c>
      <c r="L17" s="353">
        <v>280.3</v>
      </c>
      <c r="M17" s="109">
        <f t="shared" si="15"/>
        <v>507.3</v>
      </c>
      <c r="N17" s="353">
        <v>100</v>
      </c>
      <c r="O17" s="353">
        <v>868</v>
      </c>
      <c r="P17" s="183">
        <f t="shared" si="8"/>
        <v>0.58444700460829491</v>
      </c>
      <c r="Q17" s="353">
        <v>230</v>
      </c>
      <c r="R17" s="353">
        <v>140</v>
      </c>
      <c r="S17" s="192">
        <v>11274981</v>
      </c>
      <c r="T17" s="110">
        <f t="shared" si="12"/>
        <v>14130351</v>
      </c>
      <c r="U17" s="192">
        <v>7221303</v>
      </c>
      <c r="V17" s="192">
        <v>6909048</v>
      </c>
      <c r="W17" s="185">
        <f t="shared" si="9"/>
        <v>0.48895091141048086</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row>
    <row r="18" spans="1:63" s="71" customFormat="1">
      <c r="A18" s="90">
        <v>2006</v>
      </c>
      <c r="B18" s="353">
        <v>32</v>
      </c>
      <c r="C18" s="353">
        <v>21</v>
      </c>
      <c r="D18" s="194">
        <f t="shared" si="13"/>
        <v>53</v>
      </c>
      <c r="E18" s="109">
        <f t="shared" si="10"/>
        <v>26</v>
      </c>
      <c r="F18" s="109">
        <f t="shared" si="11"/>
        <v>16</v>
      </c>
      <c r="G18" s="113"/>
      <c r="H18" s="113"/>
      <c r="I18" s="353">
        <v>155</v>
      </c>
      <c r="J18" s="353">
        <v>443</v>
      </c>
      <c r="K18" s="194">
        <f t="shared" si="14"/>
        <v>598</v>
      </c>
      <c r="L18" s="353">
        <v>219</v>
      </c>
      <c r="M18" s="109">
        <f t="shared" si="15"/>
        <v>374</v>
      </c>
      <c r="N18" s="353">
        <v>63</v>
      </c>
      <c r="O18" s="353">
        <v>844.33</v>
      </c>
      <c r="P18" s="183">
        <f t="shared" si="8"/>
        <v>0.44295476886999158</v>
      </c>
      <c r="Q18" s="353">
        <v>194</v>
      </c>
      <c r="R18" s="353">
        <v>180</v>
      </c>
      <c r="S18" s="192">
        <v>9627765</v>
      </c>
      <c r="T18" s="110">
        <f t="shared" si="12"/>
        <v>12336731</v>
      </c>
      <c r="U18" s="192">
        <v>6060052</v>
      </c>
      <c r="V18" s="192">
        <v>6276679</v>
      </c>
      <c r="W18" s="185">
        <f t="shared" si="9"/>
        <v>0.50877975697127542</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row>
    <row r="19" spans="1:63" s="71" customFormat="1">
      <c r="A19" s="90">
        <v>2005</v>
      </c>
      <c r="B19" s="353">
        <v>34</v>
      </c>
      <c r="C19" s="353">
        <v>27</v>
      </c>
      <c r="D19" s="194">
        <f t="shared" si="13"/>
        <v>61</v>
      </c>
      <c r="E19" s="109">
        <f t="shared" si="10"/>
        <v>27</v>
      </c>
      <c r="F19" s="109">
        <f t="shared" si="11"/>
        <v>15</v>
      </c>
      <c r="G19" s="113"/>
      <c r="H19" s="113"/>
      <c r="I19" s="353">
        <v>79</v>
      </c>
      <c r="J19" s="353">
        <v>345</v>
      </c>
      <c r="K19" s="194">
        <f t="shared" si="14"/>
        <v>424</v>
      </c>
      <c r="L19" s="353">
        <v>168</v>
      </c>
      <c r="M19" s="109">
        <f t="shared" si="15"/>
        <v>247</v>
      </c>
      <c r="N19" s="353">
        <v>48</v>
      </c>
      <c r="O19" s="353">
        <v>902</v>
      </c>
      <c r="P19" s="183">
        <f t="shared" si="8"/>
        <v>0.27383592017738362</v>
      </c>
      <c r="Q19" s="353">
        <v>95</v>
      </c>
      <c r="R19" s="353">
        <v>273</v>
      </c>
      <c r="S19" s="192">
        <v>8352448</v>
      </c>
      <c r="T19" s="110">
        <f t="shared" si="12"/>
        <v>10199004</v>
      </c>
      <c r="U19" s="192">
        <v>5655370</v>
      </c>
      <c r="V19" s="192">
        <v>4543634</v>
      </c>
      <c r="W19" s="185">
        <f t="shared" si="9"/>
        <v>0.44549781527686427</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row>
    <row r="20" spans="1:63" s="71" customFormat="1">
      <c r="A20" s="90">
        <v>2004</v>
      </c>
      <c r="B20" s="195">
        <v>33</v>
      </c>
      <c r="C20" s="195">
        <v>24</v>
      </c>
      <c r="D20" s="194">
        <f t="shared" si="13"/>
        <v>57</v>
      </c>
      <c r="E20" s="109">
        <f t="shared" si="10"/>
        <v>32</v>
      </c>
      <c r="F20" s="109">
        <f t="shared" si="11"/>
        <v>18</v>
      </c>
      <c r="G20" s="113"/>
      <c r="H20" s="113"/>
      <c r="I20" s="195">
        <v>54</v>
      </c>
      <c r="J20" s="195">
        <v>282</v>
      </c>
      <c r="K20" s="194">
        <f t="shared" si="14"/>
        <v>336</v>
      </c>
      <c r="L20" s="195">
        <v>181.5</v>
      </c>
      <c r="M20" s="109">
        <f t="shared" si="15"/>
        <v>235.5</v>
      </c>
      <c r="N20" s="195">
        <v>42</v>
      </c>
      <c r="O20" s="195">
        <v>1046.8</v>
      </c>
      <c r="P20" s="183">
        <f t="shared" si="8"/>
        <v>0.22497134123041651</v>
      </c>
      <c r="Q20" s="195">
        <v>62</v>
      </c>
      <c r="R20" s="353">
        <v>183</v>
      </c>
      <c r="S20" s="192">
        <v>7341290</v>
      </c>
      <c r="T20" s="110">
        <f t="shared" si="12"/>
        <v>8638369</v>
      </c>
      <c r="U20" s="192">
        <v>4798985</v>
      </c>
      <c r="V20" s="192">
        <v>3839384</v>
      </c>
      <c r="W20" s="185">
        <f t="shared" si="9"/>
        <v>0.44445704970463751</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row>
    <row r="21" spans="1:63" s="71" customFormat="1">
      <c r="A21" s="90">
        <v>2003</v>
      </c>
      <c r="B21" s="195">
        <v>27</v>
      </c>
      <c r="C21" s="195">
        <v>10</v>
      </c>
      <c r="D21" s="194">
        <f t="shared" si="13"/>
        <v>37</v>
      </c>
      <c r="E21" s="109">
        <f t="shared" si="10"/>
        <v>41</v>
      </c>
      <c r="F21" s="109">
        <f t="shared" si="11"/>
        <v>30</v>
      </c>
      <c r="G21" s="113"/>
      <c r="H21" s="113"/>
      <c r="I21" s="195">
        <v>42</v>
      </c>
      <c r="J21" s="195">
        <v>213</v>
      </c>
      <c r="K21" s="194">
        <f t="shared" si="14"/>
        <v>255</v>
      </c>
      <c r="L21" s="195">
        <v>128</v>
      </c>
      <c r="M21" s="109">
        <f t="shared" si="15"/>
        <v>170</v>
      </c>
      <c r="N21" s="195">
        <v>21</v>
      </c>
      <c r="O21" s="195">
        <v>1101</v>
      </c>
      <c r="P21" s="183">
        <f t="shared" si="8"/>
        <v>0.15440508628519528</v>
      </c>
      <c r="Q21" s="195">
        <v>72</v>
      </c>
      <c r="R21" s="353">
        <v>303</v>
      </c>
      <c r="S21" s="192">
        <v>6595800</v>
      </c>
      <c r="T21" s="110">
        <f t="shared" si="12"/>
        <v>7196625</v>
      </c>
      <c r="U21" s="192">
        <v>4664090</v>
      </c>
      <c r="V21" s="192">
        <v>2532535</v>
      </c>
      <c r="W21" s="185">
        <f t="shared" si="9"/>
        <v>0.35190592812603128</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row>
    <row r="22" spans="1:63" s="71" customFormat="1">
      <c r="A22" s="90">
        <v>2002</v>
      </c>
      <c r="B22" s="195">
        <v>28</v>
      </c>
      <c r="C22" s="195">
        <v>8</v>
      </c>
      <c r="D22" s="194">
        <f t="shared" si="13"/>
        <v>36</v>
      </c>
      <c r="E22" s="109">
        <f t="shared" si="10"/>
        <v>43</v>
      </c>
      <c r="F22" s="109">
        <f t="shared" si="11"/>
        <v>33</v>
      </c>
      <c r="G22" s="113"/>
      <c r="H22" s="113"/>
      <c r="I22" s="195">
        <v>32</v>
      </c>
      <c r="J22" s="195">
        <v>177</v>
      </c>
      <c r="K22" s="194">
        <f t="shared" si="14"/>
        <v>209</v>
      </c>
      <c r="L22" s="195">
        <f>ROUND(110, 0)</f>
        <v>110</v>
      </c>
      <c r="M22" s="109">
        <f t="shared" si="15"/>
        <v>142</v>
      </c>
      <c r="N22" s="195">
        <v>20</v>
      </c>
      <c r="O22" s="195">
        <f>ROUND(1194.86, 0)</f>
        <v>1195</v>
      </c>
      <c r="P22" s="183">
        <f t="shared" si="8"/>
        <v>0.11882845188284519</v>
      </c>
      <c r="Q22" s="195">
        <v>54</v>
      </c>
      <c r="R22" s="353">
        <v>258</v>
      </c>
      <c r="S22" s="192">
        <v>6764921</v>
      </c>
      <c r="T22" s="110">
        <f t="shared" si="12"/>
        <v>6975301</v>
      </c>
      <c r="U22" s="192">
        <v>4453200</v>
      </c>
      <c r="V22" s="192">
        <v>2522101</v>
      </c>
      <c r="W22" s="185">
        <f t="shared" si="9"/>
        <v>0.36157593772655833</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row>
    <row r="23" spans="1:63" s="79" customFormat="1">
      <c r="A23" s="674" t="s">
        <v>157</v>
      </c>
      <c r="B23" s="675"/>
      <c r="C23" s="675"/>
      <c r="D23" s="675"/>
      <c r="E23" s="675"/>
      <c r="F23" s="675"/>
      <c r="G23" s="675"/>
      <c r="H23" s="675"/>
      <c r="I23" s="675"/>
      <c r="J23" s="675"/>
      <c r="K23" s="675"/>
      <c r="L23" s="675"/>
      <c r="M23" s="675"/>
      <c r="N23" s="675"/>
      <c r="O23" s="675"/>
      <c r="P23" s="675"/>
      <c r="Q23" s="675"/>
      <c r="R23" s="675"/>
      <c r="S23" s="675"/>
      <c r="T23" s="675"/>
      <c r="U23" s="667"/>
      <c r="V23" s="667"/>
      <c r="W23" s="667"/>
    </row>
    <row r="24" spans="1:63" s="71" customFormat="1">
      <c r="A24" s="653" t="s">
        <v>89</v>
      </c>
      <c r="B24" s="654"/>
      <c r="C24" s="654"/>
      <c r="D24" s="654"/>
      <c r="E24" s="654"/>
      <c r="F24" s="654"/>
      <c r="G24" s="654"/>
      <c r="H24" s="654"/>
      <c r="I24" s="654"/>
      <c r="J24" s="654"/>
      <c r="K24" s="654"/>
      <c r="L24" s="654"/>
      <c r="M24" s="654"/>
      <c r="N24" s="654"/>
      <c r="O24" s="654"/>
      <c r="P24" s="654"/>
      <c r="Q24" s="654"/>
      <c r="R24" s="654"/>
      <c r="S24" s="654"/>
      <c r="T24" s="654"/>
      <c r="U24" s="667"/>
      <c r="V24" s="667"/>
      <c r="W24" s="667"/>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row>
    <row r="25" spans="1:63" s="71" customFormat="1" ht="30.75" customHeight="1">
      <c r="A25" s="666" t="s">
        <v>90</v>
      </c>
      <c r="B25" s="676"/>
      <c r="C25" s="676"/>
      <c r="D25" s="676"/>
      <c r="E25" s="676"/>
      <c r="F25" s="676"/>
      <c r="G25" s="676"/>
      <c r="H25" s="676"/>
      <c r="I25" s="676"/>
      <c r="J25" s="676"/>
      <c r="K25" s="676"/>
      <c r="L25" s="676"/>
      <c r="M25" s="676"/>
      <c r="N25" s="676"/>
      <c r="O25" s="676"/>
      <c r="P25" s="676"/>
      <c r="Q25" s="676"/>
      <c r="R25" s="676"/>
      <c r="S25" s="676"/>
      <c r="T25" s="676"/>
      <c r="U25" s="667"/>
      <c r="V25" s="667"/>
      <c r="W25" s="667"/>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row>
    <row r="26" spans="1:63" s="71" customFormat="1">
      <c r="A26" s="675" t="s">
        <v>91</v>
      </c>
      <c r="B26" s="666"/>
      <c r="C26" s="666"/>
      <c r="D26" s="666"/>
      <c r="E26" s="666"/>
      <c r="F26" s="666"/>
      <c r="G26" s="666"/>
      <c r="H26" s="666"/>
      <c r="I26" s="666"/>
      <c r="J26" s="666"/>
      <c r="K26" s="666"/>
      <c r="L26" s="666"/>
      <c r="M26" s="666"/>
      <c r="N26" s="666"/>
      <c r="O26" s="666"/>
      <c r="P26" s="666"/>
      <c r="Q26" s="667"/>
      <c r="R26" s="667"/>
      <c r="S26" s="667"/>
      <c r="T26" s="667"/>
      <c r="U26" s="667"/>
      <c r="V26" s="667"/>
      <c r="W26" s="667"/>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row>
    <row r="27" spans="1:63" s="14" customFormat="1">
      <c r="G27"/>
      <c r="H27"/>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row>
    <row r="28" spans="1:63" s="14" customFormat="1">
      <c r="G28"/>
      <c r="H28"/>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row>
    <row r="29" spans="1:63" s="14" customFormat="1">
      <c r="G29"/>
      <c r="H29"/>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row>
    <row r="30" spans="1:63" s="14" customFormat="1">
      <c r="G30"/>
      <c r="H30"/>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row>
    <row r="31" spans="1:63" s="14" customFormat="1">
      <c r="G31"/>
      <c r="H3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row>
    <row r="32" spans="1:63" s="14" customFormat="1">
      <c r="G32"/>
      <c r="H32"/>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row>
    <row r="33" spans="7:63" s="14" customFormat="1">
      <c r="G33"/>
      <c r="H3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row>
    <row r="34" spans="7:63" s="14" customFormat="1">
      <c r="G34"/>
      <c r="H34"/>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row>
    <row r="35" spans="7:63" s="14" customFormat="1">
      <c r="G35"/>
      <c r="H35"/>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row>
    <row r="36" spans="7:63" s="14" customFormat="1">
      <c r="G36"/>
      <c r="H36"/>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row>
    <row r="37" spans="7:63" s="14" customFormat="1">
      <c r="G37"/>
      <c r="H37"/>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row>
  </sheetData>
  <mergeCells count="4">
    <mergeCell ref="A23:W23"/>
    <mergeCell ref="A24:W24"/>
    <mergeCell ref="A25:W25"/>
    <mergeCell ref="A26:W26"/>
  </mergeCells>
  <printOptions headings="1" gridLines="1"/>
  <pageMargins left="0.5" right="0.5" top="0.5" bottom="0.5" header="0" footer="0"/>
  <pageSetup paperSize="5" scale="66" orientation="landscape" r:id="rId1"/>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L34"/>
  <sheetViews>
    <sheetView workbookViewId="0">
      <selection activeCell="G28" sqref="G28"/>
    </sheetView>
  </sheetViews>
  <sheetFormatPr defaultColWidth="8.85546875" defaultRowHeight="15"/>
  <cols>
    <col min="1" max="1" width="11.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3.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 min="24" max="62" width="8.85546875" style="376"/>
  </cols>
  <sheetData>
    <row r="1" spans="1:220" s="1" customFormat="1" ht="18.75">
      <c r="A1" s="1" t="s">
        <v>49</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row>
    <row r="3" spans="1:220">
      <c r="A3" s="417">
        <v>2021</v>
      </c>
      <c r="B3" s="409">
        <v>7</v>
      </c>
      <c r="C3" s="409">
        <v>1.75</v>
      </c>
      <c r="D3" s="410">
        <f>SUM((B3:C3))</f>
        <v>8.75</v>
      </c>
      <c r="E3" s="427">
        <v>17</v>
      </c>
      <c r="F3" s="427">
        <v>14</v>
      </c>
      <c r="G3" s="412">
        <v>7</v>
      </c>
      <c r="H3" s="412">
        <v>1.75</v>
      </c>
      <c r="I3" s="412">
        <v>14</v>
      </c>
      <c r="J3" s="412">
        <v>195</v>
      </c>
      <c r="K3" s="410">
        <f>SUM((I3:J3))</f>
        <v>209</v>
      </c>
      <c r="L3" s="412">
        <v>104.81</v>
      </c>
      <c r="M3" s="411">
        <f>SUM((I3+L3))</f>
        <v>118.81</v>
      </c>
      <c r="N3" s="412">
        <v>21</v>
      </c>
      <c r="O3" s="409">
        <v>118.81</v>
      </c>
      <c r="P3" s="438">
        <v>1</v>
      </c>
      <c r="Q3" s="409">
        <v>74</v>
      </c>
      <c r="R3" s="409">
        <v>0</v>
      </c>
      <c r="S3" s="414">
        <v>968975</v>
      </c>
      <c r="T3" s="415">
        <v>1192000</v>
      </c>
      <c r="U3" s="414">
        <v>1192000</v>
      </c>
      <c r="V3" s="517">
        <v>0</v>
      </c>
      <c r="W3" s="335">
        <v>0</v>
      </c>
      <c r="X3"/>
      <c r="Y3"/>
      <c r="Z3"/>
      <c r="AA3"/>
      <c r="AB3"/>
      <c r="AC3"/>
      <c r="AD3"/>
      <c r="AE3"/>
      <c r="AF3"/>
      <c r="AG3"/>
      <c r="AH3"/>
      <c r="AI3"/>
      <c r="AJ3"/>
      <c r="AK3"/>
      <c r="AL3"/>
      <c r="AM3"/>
      <c r="AN3"/>
      <c r="AO3"/>
      <c r="AP3"/>
      <c r="AQ3"/>
      <c r="AR3"/>
      <c r="AS3"/>
      <c r="AT3"/>
      <c r="AU3"/>
      <c r="AV3"/>
      <c r="AW3"/>
      <c r="AX3"/>
      <c r="AY3"/>
      <c r="AZ3"/>
      <c r="BA3"/>
      <c r="BB3"/>
      <c r="BC3"/>
      <c r="BD3"/>
      <c r="BE3"/>
      <c r="BF3"/>
      <c r="BG3"/>
      <c r="BH3"/>
      <c r="BI3"/>
      <c r="BJ3"/>
    </row>
    <row r="4" spans="1:220">
      <c r="A4" s="417">
        <v>2020</v>
      </c>
      <c r="B4" s="409">
        <v>8</v>
      </c>
      <c r="C4" s="409">
        <v>2</v>
      </c>
      <c r="D4" s="410">
        <f>SUM(B4:C4)</f>
        <v>10</v>
      </c>
      <c r="E4" s="427">
        <f>ROUND((O4/B4), 0)</f>
        <v>16</v>
      </c>
      <c r="F4" s="427">
        <f>ROUND((O4/D4), 0)</f>
        <v>12</v>
      </c>
      <c r="G4" s="412">
        <v>8</v>
      </c>
      <c r="H4" s="412">
        <v>2</v>
      </c>
      <c r="I4" s="412">
        <v>19</v>
      </c>
      <c r="J4" s="412">
        <v>187</v>
      </c>
      <c r="K4" s="410">
        <f t="shared" ref="K4" si="0">SUM(I4:J4)</f>
        <v>206</v>
      </c>
      <c r="L4" s="412">
        <v>105.91</v>
      </c>
      <c r="M4" s="411">
        <f>(I4+L4)</f>
        <v>124.91</v>
      </c>
      <c r="N4" s="412">
        <v>25</v>
      </c>
      <c r="O4" s="409">
        <v>124.91</v>
      </c>
      <c r="P4" s="438">
        <f t="shared" ref="P4" si="1">M4/O4</f>
        <v>1</v>
      </c>
      <c r="Q4" s="409">
        <v>79</v>
      </c>
      <c r="R4" s="409">
        <v>0</v>
      </c>
      <c r="S4" s="414">
        <v>637951.02</v>
      </c>
      <c r="T4" s="415">
        <f>SUM(U4:V4)</f>
        <v>1267800</v>
      </c>
      <c r="U4" s="414">
        <v>998800</v>
      </c>
      <c r="V4" s="517">
        <v>269000</v>
      </c>
      <c r="W4" s="335">
        <f t="shared" ref="W4" si="2">V4/T4</f>
        <v>0.21217857706262819</v>
      </c>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220">
      <c r="A5" s="6">
        <v>2019</v>
      </c>
      <c r="B5" s="518">
        <v>9</v>
      </c>
      <c r="C5" s="518">
        <v>2.0249999999999999</v>
      </c>
      <c r="D5" s="437">
        <f>SUM(B5:C5)</f>
        <v>11.025</v>
      </c>
      <c r="E5" s="427">
        <f>ROUND((O5/B5), 0)</f>
        <v>15</v>
      </c>
      <c r="F5" s="427">
        <f>ROUND((O5/D5), 0)</f>
        <v>13</v>
      </c>
      <c r="G5" s="518">
        <v>10</v>
      </c>
      <c r="H5" s="518">
        <v>6</v>
      </c>
      <c r="I5" s="518">
        <v>16</v>
      </c>
      <c r="J5" s="518">
        <v>213</v>
      </c>
      <c r="K5" s="437">
        <f>SUM(I5:J5)</f>
        <v>229</v>
      </c>
      <c r="L5" s="518">
        <v>122</v>
      </c>
      <c r="M5" s="411">
        <f>(I5+L5)</f>
        <v>138</v>
      </c>
      <c r="N5" s="518">
        <v>36</v>
      </c>
      <c r="O5" s="518">
        <v>138</v>
      </c>
      <c r="P5" s="413">
        <f>M5/O5</f>
        <v>1</v>
      </c>
      <c r="Q5" s="518">
        <v>65</v>
      </c>
      <c r="R5" s="518">
        <v>0</v>
      </c>
      <c r="S5" s="520">
        <v>1006081</v>
      </c>
      <c r="T5" s="415">
        <f>SUM(U5:V5)</f>
        <v>1268409</v>
      </c>
      <c r="U5" s="520">
        <v>998800</v>
      </c>
      <c r="V5" s="520">
        <v>269609</v>
      </c>
      <c r="W5" s="335">
        <f>V5/T5</f>
        <v>0.21255683300891115</v>
      </c>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220" s="17" customFormat="1">
      <c r="A6" s="33">
        <v>2018</v>
      </c>
      <c r="B6" s="20">
        <v>8</v>
      </c>
      <c r="C6" s="20">
        <v>2.0249999999999999</v>
      </c>
      <c r="D6" s="29">
        <f>SUM(B6:C6)</f>
        <v>10.025</v>
      </c>
      <c r="E6" s="172">
        <f>ROUND((O6/B6), 0)</f>
        <v>23</v>
      </c>
      <c r="F6" s="172">
        <f>ROUND((O6/D6), 0)</f>
        <v>18</v>
      </c>
      <c r="G6" s="20">
        <v>8</v>
      </c>
      <c r="H6" s="20">
        <v>2.0249999999999999</v>
      </c>
      <c r="I6" s="20">
        <v>29</v>
      </c>
      <c r="J6" s="20">
        <v>231</v>
      </c>
      <c r="K6" s="29">
        <f>SUM(I6:J6)</f>
        <v>260</v>
      </c>
      <c r="L6" s="20">
        <v>154</v>
      </c>
      <c r="M6" s="172">
        <f>(I6+L6)</f>
        <v>183</v>
      </c>
      <c r="N6" s="20">
        <v>36</v>
      </c>
      <c r="O6" s="20">
        <v>183</v>
      </c>
      <c r="P6" s="183">
        <f>M6/O6</f>
        <v>1</v>
      </c>
      <c r="Q6" s="20">
        <v>70</v>
      </c>
      <c r="R6" s="20">
        <v>0</v>
      </c>
      <c r="S6" s="24">
        <v>1010436</v>
      </c>
      <c r="T6" s="30">
        <f>SUM(U6:V6)</f>
        <v>1325597</v>
      </c>
      <c r="U6" s="24">
        <v>1010436</v>
      </c>
      <c r="V6" s="24">
        <v>315161</v>
      </c>
      <c r="W6" s="185">
        <f>V6/T6</f>
        <v>0.23775023630862169</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9</v>
      </c>
      <c r="C7" s="20">
        <v>4.75</v>
      </c>
      <c r="D7" s="34">
        <f>SUM(B7:C7)</f>
        <v>13.75</v>
      </c>
      <c r="E7" s="34">
        <f>ROUND((O7/B7), 0)</f>
        <v>12</v>
      </c>
      <c r="F7" s="34">
        <f>ROUND((O7/D7), 0)</f>
        <v>8</v>
      </c>
      <c r="G7" s="20">
        <v>9</v>
      </c>
      <c r="H7" s="20">
        <v>6</v>
      </c>
      <c r="I7" s="20">
        <v>27</v>
      </c>
      <c r="J7" s="20">
        <v>228</v>
      </c>
      <c r="K7" s="34">
        <f>SUM(I7:J7)</f>
        <v>255</v>
      </c>
      <c r="L7" s="20">
        <f>J7*0.36</f>
        <v>82.08</v>
      </c>
      <c r="M7" s="36">
        <f>(I7+L7)</f>
        <v>109.08</v>
      </c>
      <c r="N7" s="344">
        <v>54</v>
      </c>
      <c r="O7" s="344">
        <f>M7</f>
        <v>109.08</v>
      </c>
      <c r="P7" s="183">
        <f t="shared" ref="P7:P18" si="3">M7/O7</f>
        <v>1</v>
      </c>
      <c r="Q7" s="20">
        <v>83</v>
      </c>
      <c r="R7" s="20">
        <v>0</v>
      </c>
      <c r="S7" s="341">
        <v>1020769</v>
      </c>
      <c r="T7" s="35">
        <f>SUM(U7:V7)</f>
        <v>1284737</v>
      </c>
      <c r="U7" s="341">
        <v>1020769</v>
      </c>
      <c r="V7" s="24">
        <v>263968</v>
      </c>
      <c r="W7" s="185">
        <f t="shared" ref="W7:W18" si="4">V7/T7</f>
        <v>0.20546462038533958</v>
      </c>
    </row>
    <row r="8" spans="1:220" s="86" customFormat="1">
      <c r="A8" s="95">
        <v>2016</v>
      </c>
      <c r="B8" s="63">
        <v>8</v>
      </c>
      <c r="C8" s="63">
        <v>2.5</v>
      </c>
      <c r="D8" s="81">
        <f>SUM(B8:C8)</f>
        <v>10.5</v>
      </c>
      <c r="E8" s="82">
        <f>ROUND((O8/B8), 0)</f>
        <v>21</v>
      </c>
      <c r="F8" s="82">
        <f>ROUND((O8/D8), 0)</f>
        <v>16</v>
      </c>
      <c r="G8" s="83">
        <v>8</v>
      </c>
      <c r="H8" s="83">
        <v>2.5</v>
      </c>
      <c r="I8" s="63">
        <v>21</v>
      </c>
      <c r="J8" s="63">
        <v>253</v>
      </c>
      <c r="K8" s="81">
        <f>SUM(I8:J8)</f>
        <v>274</v>
      </c>
      <c r="L8" s="63">
        <v>147</v>
      </c>
      <c r="M8" s="82">
        <f>(I8+L8)</f>
        <v>168</v>
      </c>
      <c r="N8" s="63">
        <v>36</v>
      </c>
      <c r="O8" s="63">
        <v>168</v>
      </c>
      <c r="P8" s="183">
        <f t="shared" si="3"/>
        <v>1</v>
      </c>
      <c r="Q8" s="63">
        <v>62</v>
      </c>
      <c r="R8" s="63">
        <v>0</v>
      </c>
      <c r="S8" s="69">
        <v>919575</v>
      </c>
      <c r="T8" s="85">
        <f>SUM(U8:V8)</f>
        <v>1210663</v>
      </c>
      <c r="U8" s="69">
        <v>1196063</v>
      </c>
      <c r="V8" s="69">
        <v>14600</v>
      </c>
      <c r="W8" s="185">
        <f t="shared" si="4"/>
        <v>1.2059507889478739E-2</v>
      </c>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row>
    <row r="9" spans="1:220" s="89" customFormat="1">
      <c r="A9" s="95">
        <v>2015</v>
      </c>
      <c r="B9" s="63">
        <v>8</v>
      </c>
      <c r="C9" s="63">
        <v>2.25</v>
      </c>
      <c r="D9" s="87">
        <v>10.25</v>
      </c>
      <c r="E9" s="87">
        <v>17.399999999999999</v>
      </c>
      <c r="F9" s="87">
        <v>13.58</v>
      </c>
      <c r="G9" s="111"/>
      <c r="H9" s="111"/>
      <c r="I9" s="63">
        <v>16</v>
      </c>
      <c r="J9" s="63">
        <v>211</v>
      </c>
      <c r="K9" s="87">
        <v>227</v>
      </c>
      <c r="L9" s="63">
        <v>123.25</v>
      </c>
      <c r="M9" s="87">
        <v>139.25</v>
      </c>
      <c r="N9" s="63">
        <v>39</v>
      </c>
      <c r="O9" s="63">
        <v>139.25</v>
      </c>
      <c r="P9" s="183">
        <f t="shared" si="3"/>
        <v>1</v>
      </c>
      <c r="Q9" s="63">
        <v>60</v>
      </c>
      <c r="R9" s="63">
        <v>0</v>
      </c>
      <c r="S9" s="69">
        <v>734688</v>
      </c>
      <c r="T9" s="88">
        <v>798277</v>
      </c>
      <c r="U9" s="69">
        <v>734768</v>
      </c>
      <c r="V9" s="69">
        <v>63509</v>
      </c>
      <c r="W9" s="185">
        <f t="shared" si="4"/>
        <v>7.9557597174915479E-2</v>
      </c>
    </row>
    <row r="10" spans="1:220" s="71" customFormat="1">
      <c r="A10" s="90">
        <v>2014</v>
      </c>
      <c r="B10" s="91">
        <v>8</v>
      </c>
      <c r="C10" s="91">
        <v>0</v>
      </c>
      <c r="D10" s="81">
        <f t="shared" ref="D10:D18" si="5">SUM(B10:C10)</f>
        <v>8</v>
      </c>
      <c r="E10" s="82">
        <f t="shared" ref="E10:E18" si="6">ROUND((O10/B10), 0)</f>
        <v>13</v>
      </c>
      <c r="F10" s="82">
        <f t="shared" ref="F10:F18" si="7">ROUND((O10/D10), 0)</f>
        <v>13</v>
      </c>
      <c r="G10" s="111"/>
      <c r="H10" s="111"/>
      <c r="I10" s="91">
        <v>6</v>
      </c>
      <c r="J10" s="91">
        <v>187</v>
      </c>
      <c r="K10" s="81">
        <f t="shared" ref="K10:K18" si="8">SUM(I10:J10)</f>
        <v>193</v>
      </c>
      <c r="L10" s="91">
        <v>93.5</v>
      </c>
      <c r="M10" s="82">
        <f t="shared" ref="M10:M18" si="9">(I10+L10)</f>
        <v>99.5</v>
      </c>
      <c r="N10" s="91">
        <v>29</v>
      </c>
      <c r="O10" s="91">
        <v>100</v>
      </c>
      <c r="P10" s="183">
        <f t="shared" si="3"/>
        <v>0.995</v>
      </c>
      <c r="Q10" s="91">
        <v>64</v>
      </c>
      <c r="R10" s="91">
        <v>0</v>
      </c>
      <c r="S10" s="92">
        <v>903499</v>
      </c>
      <c r="T10" s="85">
        <f t="shared" ref="T10:T18" si="10">SUM(U10:V10)</f>
        <v>1118752</v>
      </c>
      <c r="U10" s="92">
        <v>938819</v>
      </c>
      <c r="V10" s="92">
        <v>179933</v>
      </c>
      <c r="W10" s="185">
        <f t="shared" si="4"/>
        <v>0.1608336789565516</v>
      </c>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row>
    <row r="11" spans="1:220" s="71" customFormat="1">
      <c r="A11" s="90">
        <v>2013</v>
      </c>
      <c r="B11" s="353">
        <v>8</v>
      </c>
      <c r="C11" s="353">
        <v>0</v>
      </c>
      <c r="D11" s="108">
        <f t="shared" si="5"/>
        <v>8</v>
      </c>
      <c r="E11" s="109">
        <f t="shared" si="6"/>
        <v>15</v>
      </c>
      <c r="F11" s="109">
        <f t="shared" si="7"/>
        <v>15</v>
      </c>
      <c r="G11" s="113"/>
      <c r="H11" s="113"/>
      <c r="I11" s="353">
        <v>0</v>
      </c>
      <c r="J11" s="353">
        <v>174</v>
      </c>
      <c r="K11" s="108">
        <f t="shared" si="8"/>
        <v>174</v>
      </c>
      <c r="L11" s="353">
        <v>116.58</v>
      </c>
      <c r="M11" s="109">
        <f t="shared" si="9"/>
        <v>116.58</v>
      </c>
      <c r="N11" s="353">
        <v>18</v>
      </c>
      <c r="O11" s="353">
        <v>116.58</v>
      </c>
      <c r="P11" s="183">
        <f t="shared" si="3"/>
        <v>1</v>
      </c>
      <c r="Q11" s="353">
        <v>61</v>
      </c>
      <c r="R11" s="353">
        <v>0</v>
      </c>
      <c r="S11" s="112">
        <v>672126</v>
      </c>
      <c r="T11" s="110">
        <f t="shared" si="10"/>
        <v>867236</v>
      </c>
      <c r="U11" s="112">
        <v>854686</v>
      </c>
      <c r="V11" s="112">
        <v>12550</v>
      </c>
      <c r="W11" s="185">
        <f t="shared" si="4"/>
        <v>1.4471262724333399E-2</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row>
    <row r="12" spans="1:220" s="71" customFormat="1">
      <c r="A12" s="90">
        <v>2012</v>
      </c>
      <c r="B12" s="353">
        <v>9</v>
      </c>
      <c r="C12" s="353">
        <v>1.25</v>
      </c>
      <c r="D12" s="108">
        <f t="shared" si="5"/>
        <v>10.25</v>
      </c>
      <c r="E12" s="109">
        <f t="shared" si="6"/>
        <v>14</v>
      </c>
      <c r="F12" s="109">
        <f t="shared" si="7"/>
        <v>12</v>
      </c>
      <c r="G12" s="113"/>
      <c r="H12" s="113"/>
      <c r="I12" s="353">
        <v>0</v>
      </c>
      <c r="J12" s="353">
        <v>191</v>
      </c>
      <c r="K12" s="108">
        <f t="shared" si="8"/>
        <v>191</v>
      </c>
      <c r="L12" s="353">
        <v>124</v>
      </c>
      <c r="M12" s="109">
        <f t="shared" si="9"/>
        <v>124</v>
      </c>
      <c r="N12" s="353">
        <v>7</v>
      </c>
      <c r="O12" s="353">
        <v>124</v>
      </c>
      <c r="P12" s="183">
        <f t="shared" si="3"/>
        <v>1</v>
      </c>
      <c r="Q12" s="353">
        <v>82</v>
      </c>
      <c r="R12" s="353">
        <v>0</v>
      </c>
      <c r="S12" s="112">
        <v>1059526</v>
      </c>
      <c r="T12" s="110">
        <f t="shared" si="10"/>
        <v>1041526</v>
      </c>
      <c r="U12" s="112">
        <v>1041526</v>
      </c>
      <c r="V12" s="112">
        <v>0</v>
      </c>
      <c r="W12" s="185">
        <f t="shared" si="4"/>
        <v>0</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row>
    <row r="13" spans="1:220" s="71" customFormat="1">
      <c r="A13" s="90">
        <v>2011</v>
      </c>
      <c r="B13" s="353">
        <v>9</v>
      </c>
      <c r="C13" s="353">
        <v>1.25</v>
      </c>
      <c r="D13" s="108">
        <f t="shared" si="5"/>
        <v>10.25</v>
      </c>
      <c r="E13" s="109">
        <f t="shared" si="6"/>
        <v>24</v>
      </c>
      <c r="F13" s="109">
        <f t="shared" si="7"/>
        <v>21</v>
      </c>
      <c r="G13" s="113"/>
      <c r="H13" s="113"/>
      <c r="I13" s="353">
        <v>24</v>
      </c>
      <c r="J13" s="353">
        <v>182</v>
      </c>
      <c r="K13" s="108">
        <f t="shared" si="8"/>
        <v>206</v>
      </c>
      <c r="L13" s="353">
        <v>88</v>
      </c>
      <c r="M13" s="109">
        <f t="shared" si="9"/>
        <v>112</v>
      </c>
      <c r="N13" s="353">
        <v>7</v>
      </c>
      <c r="O13" s="353">
        <v>211.75</v>
      </c>
      <c r="P13" s="183">
        <f t="shared" si="3"/>
        <v>0.52892561983471076</v>
      </c>
      <c r="Q13" s="353">
        <v>103</v>
      </c>
      <c r="R13" s="353">
        <v>0</v>
      </c>
      <c r="S13" s="112">
        <v>1142913</v>
      </c>
      <c r="T13" s="110">
        <f t="shared" si="10"/>
        <v>1245176.25</v>
      </c>
      <c r="U13" s="112">
        <v>1161284</v>
      </c>
      <c r="V13" s="112">
        <v>83892.25</v>
      </c>
      <c r="W13" s="185">
        <f t="shared" si="4"/>
        <v>6.7373795476744755E-2</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row>
    <row r="14" spans="1:220" s="71" customFormat="1">
      <c r="A14" s="90">
        <v>2010</v>
      </c>
      <c r="B14" s="353">
        <v>11</v>
      </c>
      <c r="C14" s="353">
        <v>1.25</v>
      </c>
      <c r="D14" s="108">
        <f t="shared" si="5"/>
        <v>12.25</v>
      </c>
      <c r="E14" s="109">
        <f t="shared" si="6"/>
        <v>25</v>
      </c>
      <c r="F14" s="109">
        <f t="shared" si="7"/>
        <v>23</v>
      </c>
      <c r="G14" s="113"/>
      <c r="H14" s="113"/>
      <c r="I14" s="353">
        <v>35</v>
      </c>
      <c r="J14" s="353">
        <v>250</v>
      </c>
      <c r="K14" s="108">
        <f t="shared" si="8"/>
        <v>285</v>
      </c>
      <c r="L14" s="353">
        <v>123</v>
      </c>
      <c r="M14" s="109">
        <f t="shared" si="9"/>
        <v>158</v>
      </c>
      <c r="N14" s="353">
        <v>10</v>
      </c>
      <c r="O14" s="353">
        <v>278.14999999999998</v>
      </c>
      <c r="P14" s="183">
        <f t="shared" si="3"/>
        <v>0.56803882797051952</v>
      </c>
      <c r="Q14" s="353">
        <v>103</v>
      </c>
      <c r="R14" s="353">
        <v>0</v>
      </c>
      <c r="S14" s="112">
        <v>1241397.8999999999</v>
      </c>
      <c r="T14" s="110">
        <f t="shared" si="10"/>
        <v>1321318</v>
      </c>
      <c r="U14" s="112">
        <v>1242000</v>
      </c>
      <c r="V14" s="112">
        <v>79318</v>
      </c>
      <c r="W14" s="185">
        <f t="shared" si="4"/>
        <v>6.002945543767662E-2</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row>
    <row r="15" spans="1:220" s="71" customFormat="1">
      <c r="A15" s="90">
        <v>2009</v>
      </c>
      <c r="B15" s="353">
        <v>12</v>
      </c>
      <c r="C15" s="353">
        <v>1</v>
      </c>
      <c r="D15" s="108">
        <f t="shared" si="5"/>
        <v>13</v>
      </c>
      <c r="E15" s="109">
        <f t="shared" si="6"/>
        <v>24</v>
      </c>
      <c r="F15" s="109">
        <f t="shared" si="7"/>
        <v>22</v>
      </c>
      <c r="G15" s="113"/>
      <c r="H15" s="113"/>
      <c r="I15" s="353">
        <v>30</v>
      </c>
      <c r="J15" s="353">
        <v>301</v>
      </c>
      <c r="K15" s="108">
        <f t="shared" si="8"/>
        <v>331</v>
      </c>
      <c r="L15" s="353">
        <v>145.57</v>
      </c>
      <c r="M15" s="109">
        <f t="shared" si="9"/>
        <v>175.57</v>
      </c>
      <c r="N15" s="353">
        <v>15</v>
      </c>
      <c r="O15" s="353">
        <v>290.57</v>
      </c>
      <c r="P15" s="183">
        <f t="shared" si="3"/>
        <v>0.60422617613655916</v>
      </c>
      <c r="Q15" s="353">
        <v>95</v>
      </c>
      <c r="R15" s="353">
        <v>0</v>
      </c>
      <c r="S15" s="112">
        <v>1563863.47</v>
      </c>
      <c r="T15" s="110">
        <f t="shared" si="10"/>
        <v>1563863.47</v>
      </c>
      <c r="U15" s="112">
        <v>1491096.47</v>
      </c>
      <c r="V15" s="112">
        <v>72767</v>
      </c>
      <c r="W15" s="185">
        <f t="shared" si="4"/>
        <v>4.6530276712710733E-2</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row>
    <row r="16" spans="1:220" s="71" customFormat="1">
      <c r="A16" s="90">
        <v>2008</v>
      </c>
      <c r="B16" s="353">
        <v>12</v>
      </c>
      <c r="C16" s="353">
        <v>1.32</v>
      </c>
      <c r="D16" s="108">
        <f t="shared" si="5"/>
        <v>13.32</v>
      </c>
      <c r="E16" s="109">
        <f t="shared" si="6"/>
        <v>22</v>
      </c>
      <c r="F16" s="109">
        <f t="shared" si="7"/>
        <v>20</v>
      </c>
      <c r="G16" s="113"/>
      <c r="H16" s="113"/>
      <c r="I16" s="353">
        <v>21</v>
      </c>
      <c r="J16" s="353">
        <v>287</v>
      </c>
      <c r="K16" s="108">
        <f t="shared" si="8"/>
        <v>308</v>
      </c>
      <c r="L16" s="353">
        <v>135.96</v>
      </c>
      <c r="M16" s="109">
        <f t="shared" si="9"/>
        <v>156.96</v>
      </c>
      <c r="N16" s="353">
        <v>20</v>
      </c>
      <c r="O16" s="353">
        <v>269</v>
      </c>
      <c r="P16" s="183">
        <f t="shared" si="3"/>
        <v>0.58349442379182159</v>
      </c>
      <c r="Q16" s="353">
        <v>81</v>
      </c>
      <c r="R16" s="353">
        <v>1</v>
      </c>
      <c r="S16" s="112">
        <v>1412931</v>
      </c>
      <c r="T16" s="110">
        <f t="shared" si="10"/>
        <v>1412931</v>
      </c>
      <c r="U16" s="112">
        <v>1391454</v>
      </c>
      <c r="V16" s="112">
        <v>21477</v>
      </c>
      <c r="W16" s="185">
        <f t="shared" si="4"/>
        <v>1.5200317637591644E-2</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row>
    <row r="17" spans="1:62" s="126" customFormat="1">
      <c r="A17" s="90">
        <v>2007</v>
      </c>
      <c r="B17" s="353">
        <v>11</v>
      </c>
      <c r="C17" s="353">
        <v>3.6</v>
      </c>
      <c r="D17" s="194">
        <f t="shared" si="5"/>
        <v>14.6</v>
      </c>
      <c r="E17" s="109">
        <f t="shared" si="6"/>
        <v>13</v>
      </c>
      <c r="F17" s="109">
        <f t="shared" si="7"/>
        <v>10</v>
      </c>
      <c r="G17" s="113"/>
      <c r="H17" s="113"/>
      <c r="I17" s="353">
        <v>23</v>
      </c>
      <c r="J17" s="353">
        <v>264</v>
      </c>
      <c r="K17" s="194">
        <f t="shared" si="8"/>
        <v>287</v>
      </c>
      <c r="L17" s="353">
        <v>119</v>
      </c>
      <c r="M17" s="109">
        <f t="shared" si="9"/>
        <v>142</v>
      </c>
      <c r="N17" s="353">
        <v>21</v>
      </c>
      <c r="O17" s="353">
        <v>145</v>
      </c>
      <c r="P17" s="183">
        <f t="shared" si="3"/>
        <v>0.97931034482758617</v>
      </c>
      <c r="Q17" s="353">
        <v>75</v>
      </c>
      <c r="R17" s="353">
        <v>3</v>
      </c>
      <c r="S17" s="192">
        <v>1173185</v>
      </c>
      <c r="T17" s="110">
        <f t="shared" si="10"/>
        <v>1173185</v>
      </c>
      <c r="U17" s="192">
        <v>1155367</v>
      </c>
      <c r="V17" s="192">
        <v>17818</v>
      </c>
      <c r="W17" s="185">
        <f t="shared" si="4"/>
        <v>1.5187715492441516E-2</v>
      </c>
      <c r="X17" s="389"/>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row>
    <row r="18" spans="1:62" s="126" customFormat="1">
      <c r="A18" s="90">
        <v>2006</v>
      </c>
      <c r="B18" s="353">
        <v>18</v>
      </c>
      <c r="C18" s="353">
        <v>4</v>
      </c>
      <c r="D18" s="194">
        <f t="shared" si="5"/>
        <v>22</v>
      </c>
      <c r="E18" s="109">
        <f t="shared" si="6"/>
        <v>14</v>
      </c>
      <c r="F18" s="109">
        <f t="shared" si="7"/>
        <v>11</v>
      </c>
      <c r="G18" s="113"/>
      <c r="H18" s="113"/>
      <c r="I18" s="353">
        <v>17</v>
      </c>
      <c r="J18" s="353">
        <v>224</v>
      </c>
      <c r="K18" s="194">
        <f t="shared" si="8"/>
        <v>241</v>
      </c>
      <c r="L18" s="353">
        <v>150</v>
      </c>
      <c r="M18" s="109">
        <f t="shared" si="9"/>
        <v>167</v>
      </c>
      <c r="N18" s="353">
        <v>16</v>
      </c>
      <c r="O18" s="353">
        <v>244</v>
      </c>
      <c r="P18" s="183">
        <f t="shared" si="3"/>
        <v>0.68442622950819676</v>
      </c>
      <c r="Q18" s="353">
        <v>63</v>
      </c>
      <c r="R18" s="353">
        <v>43</v>
      </c>
      <c r="S18" s="192">
        <v>1159805</v>
      </c>
      <c r="T18" s="110">
        <f t="shared" si="10"/>
        <v>1159805</v>
      </c>
      <c r="U18" s="192">
        <v>1159805</v>
      </c>
      <c r="V18" s="192">
        <v>0</v>
      </c>
      <c r="W18" s="185">
        <f t="shared" si="4"/>
        <v>0</v>
      </c>
      <c r="X18" s="389"/>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row>
    <row r="19" spans="1:62" s="14" customFormat="1">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row>
    <row r="20" spans="1:62" s="14" customFormat="1">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row>
    <row r="21" spans="1:62" s="14" customFormat="1">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row>
    <row r="22" spans="1:62" s="14" customFormat="1">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row>
    <row r="23" spans="1:62" s="14" customFormat="1">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row>
    <row r="24" spans="1:62" s="14" customFormat="1">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row>
    <row r="25" spans="1:62" s="14" customFormat="1">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row>
    <row r="26" spans="1:62" s="14" customFormat="1">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row>
    <row r="27" spans="1:62"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row>
    <row r="28" spans="1:62"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row>
    <row r="29" spans="1:62"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row>
    <row r="30" spans="1:62"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row>
    <row r="31" spans="1:62"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row>
    <row r="32" spans="1:62"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row>
    <row r="33" spans="24:62"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row>
    <row r="34" spans="24:62" s="14" customFormat="1">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row>
  </sheetData>
  <printOptions headings="1" gridLines="1"/>
  <pageMargins left="0.5" right="0.5" top="0.5" bottom="0.5" header="0" footer="0"/>
  <pageSetup paperSize="5" scale="65" orientation="landscape" horizontalDpi="1200" verticalDpi="120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L33"/>
  <sheetViews>
    <sheetView workbookViewId="0">
      <selection activeCell="N31" sqref="N31"/>
    </sheetView>
  </sheetViews>
  <sheetFormatPr defaultColWidth="8.85546875" defaultRowHeight="15"/>
  <cols>
    <col min="1" max="1" width="10.5703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 min="24" max="67" width="8.85546875" style="376"/>
  </cols>
  <sheetData>
    <row r="1" spans="1:220" s="1" customFormat="1" ht="18.75">
      <c r="A1" s="1" t="s">
        <v>64</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row>
    <row r="3" spans="1:220">
      <c r="A3" s="417">
        <v>2021</v>
      </c>
      <c r="B3" s="412">
        <v>10</v>
      </c>
      <c r="C3" s="412">
        <v>4.7</v>
      </c>
      <c r="D3" s="429">
        <f>SUM(B3:C3)</f>
        <v>14.7</v>
      </c>
      <c r="E3" s="429">
        <f>ROUND((O3/B3),0)</f>
        <v>20</v>
      </c>
      <c r="F3" s="429">
        <f>ROUND((O3/D3),0)</f>
        <v>14</v>
      </c>
      <c r="G3" s="412">
        <v>10</v>
      </c>
      <c r="H3" s="412">
        <v>4.7</v>
      </c>
      <c r="I3" s="412">
        <v>20</v>
      </c>
      <c r="J3" s="412">
        <v>363</v>
      </c>
      <c r="K3" s="429">
        <f>SUM(I3:J3)</f>
        <v>383</v>
      </c>
      <c r="L3" s="412">
        <v>176.4</v>
      </c>
      <c r="M3" s="443">
        <f>(I3+L3)</f>
        <v>196.4</v>
      </c>
      <c r="N3" s="412">
        <v>36</v>
      </c>
      <c r="O3" s="412">
        <v>202.5</v>
      </c>
      <c r="P3" s="444">
        <f>M3/O3</f>
        <v>0.9698765432098766</v>
      </c>
      <c r="Q3" s="412">
        <v>162</v>
      </c>
      <c r="R3" s="412">
        <v>6</v>
      </c>
      <c r="S3" s="445">
        <v>2465032</v>
      </c>
      <c r="T3" s="581">
        <f t="shared" ref="T3" si="0">SUM(U3:V3)</f>
        <v>2645329</v>
      </c>
      <c r="U3" s="445">
        <v>2522185</v>
      </c>
      <c r="V3" s="445">
        <v>123144</v>
      </c>
      <c r="W3" s="444">
        <f>V3/T3</f>
        <v>4.655148754653958E-2</v>
      </c>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row>
    <row r="4" spans="1:220">
      <c r="A4" s="417">
        <v>2020</v>
      </c>
      <c r="B4" s="412">
        <v>10</v>
      </c>
      <c r="C4" s="412">
        <v>8</v>
      </c>
      <c r="D4" s="429">
        <f>SUM(B4:C4)</f>
        <v>18</v>
      </c>
      <c r="E4" s="429">
        <f>ROUND((O4/B4),0)</f>
        <v>19</v>
      </c>
      <c r="F4" s="429">
        <f>ROUND((O4/D4),0)</f>
        <v>10</v>
      </c>
      <c r="G4" s="412">
        <v>11</v>
      </c>
      <c r="H4" s="412">
        <v>8</v>
      </c>
      <c r="I4" s="412">
        <v>23</v>
      </c>
      <c r="J4" s="412">
        <v>372</v>
      </c>
      <c r="K4" s="429">
        <f>SUM(I4:J4)</f>
        <v>395</v>
      </c>
      <c r="L4" s="412">
        <v>180.2</v>
      </c>
      <c r="M4" s="443">
        <f>(I4+L4)</f>
        <v>203.2</v>
      </c>
      <c r="N4" s="412">
        <v>46</v>
      </c>
      <c r="O4" s="412">
        <v>186.5</v>
      </c>
      <c r="P4" s="444">
        <f>M4/O4</f>
        <v>1.089544235924933</v>
      </c>
      <c r="Q4" s="412">
        <v>148</v>
      </c>
      <c r="R4" s="412">
        <v>4</v>
      </c>
      <c r="S4" s="445">
        <v>2591833.5699999998</v>
      </c>
      <c r="T4" s="581">
        <f>SUM(U4:V4)</f>
        <v>2609679.6799999997</v>
      </c>
      <c r="U4" s="445">
        <v>2522185.2599999998</v>
      </c>
      <c r="V4" s="445">
        <v>87494.42</v>
      </c>
      <c r="W4" s="444">
        <f>V4/T4</f>
        <v>3.3526880969544891E-2</v>
      </c>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row>
    <row r="5" spans="1:220">
      <c r="A5" s="417">
        <v>2019</v>
      </c>
      <c r="B5" s="412">
        <v>9</v>
      </c>
      <c r="C5" s="412">
        <v>9.6</v>
      </c>
      <c r="D5" s="429">
        <f>SUM(B5:C5)</f>
        <v>18.600000000000001</v>
      </c>
      <c r="E5" s="429">
        <f>ROUND((O5/B5),0)</f>
        <v>21</v>
      </c>
      <c r="F5" s="429">
        <f>ROUND((O5/D5),0)</f>
        <v>10</v>
      </c>
      <c r="G5" s="412">
        <v>9</v>
      </c>
      <c r="H5" s="412">
        <v>9.6</v>
      </c>
      <c r="I5" s="412">
        <v>23</v>
      </c>
      <c r="J5" s="412">
        <v>358</v>
      </c>
      <c r="K5" s="429">
        <f>SUM(I5:J5)</f>
        <v>381</v>
      </c>
      <c r="L5" s="412">
        <v>168.2</v>
      </c>
      <c r="M5" s="443">
        <f>(I5+L5)</f>
        <v>191.2</v>
      </c>
      <c r="N5" s="412">
        <v>3</v>
      </c>
      <c r="O5" s="412">
        <v>185.8</v>
      </c>
      <c r="P5" s="444">
        <f>M5/O5</f>
        <v>1.0290635091496232</v>
      </c>
      <c r="Q5" s="412">
        <v>138</v>
      </c>
      <c r="R5" s="412">
        <v>4</v>
      </c>
      <c r="S5" s="445">
        <v>2369048</v>
      </c>
      <c r="T5" s="581">
        <f>SUM(U5:V5)</f>
        <v>2368180</v>
      </c>
      <c r="U5" s="445">
        <v>2267194</v>
      </c>
      <c r="V5" s="445">
        <v>100986</v>
      </c>
      <c r="W5" s="444">
        <f>V5/T5</f>
        <v>4.2642873430229121E-2</v>
      </c>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row>
    <row r="6" spans="1:220" s="17" customFormat="1">
      <c r="A6" s="33">
        <v>2018</v>
      </c>
      <c r="B6" s="20">
        <v>10</v>
      </c>
      <c r="C6" s="20">
        <v>5</v>
      </c>
      <c r="D6" s="29">
        <f>SUM(B6:C6)</f>
        <v>15</v>
      </c>
      <c r="E6" s="172">
        <f>ROUND((O6/B6), 0)</f>
        <v>26</v>
      </c>
      <c r="F6" s="172">
        <f>ROUND((O6/D6), 0)</f>
        <v>17</v>
      </c>
      <c r="G6" s="20">
        <v>10</v>
      </c>
      <c r="H6" s="20">
        <v>5</v>
      </c>
      <c r="I6" s="20">
        <v>29</v>
      </c>
      <c r="J6" s="20">
        <v>314</v>
      </c>
      <c r="K6" s="29">
        <f t="shared" ref="K6" si="1">SUM(I6:J6)</f>
        <v>343</v>
      </c>
      <c r="L6" s="20">
        <v>147.5</v>
      </c>
      <c r="M6" s="172">
        <f>(I6+L6)</f>
        <v>176.5</v>
      </c>
      <c r="N6" s="20">
        <v>16</v>
      </c>
      <c r="O6" s="20">
        <v>259</v>
      </c>
      <c r="P6" s="183">
        <f>M6/O6</f>
        <v>0.68146718146718144</v>
      </c>
      <c r="Q6" s="20">
        <v>122</v>
      </c>
      <c r="R6" s="20">
        <v>3</v>
      </c>
      <c r="S6" s="24">
        <v>2443853</v>
      </c>
      <c r="T6" s="30">
        <f>SUM(U6:V6)</f>
        <v>2571258</v>
      </c>
      <c r="U6" s="24">
        <v>2259839</v>
      </c>
      <c r="V6" s="24">
        <v>311419</v>
      </c>
      <c r="W6" s="185">
        <f>V6/T6</f>
        <v>0.12111542287860651</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10</v>
      </c>
      <c r="C7" s="20">
        <v>4</v>
      </c>
      <c r="D7" s="34">
        <f>SUM(B7:C7)</f>
        <v>14</v>
      </c>
      <c r="E7" s="34">
        <f>ROUND((O7/B7), 0)</f>
        <v>22</v>
      </c>
      <c r="F7" s="34">
        <f>ROUND((O7/D7), 0)</f>
        <v>16</v>
      </c>
      <c r="G7" s="20">
        <v>10</v>
      </c>
      <c r="H7" s="20">
        <v>4</v>
      </c>
      <c r="I7" s="20">
        <v>23</v>
      </c>
      <c r="J7" s="20">
        <v>292</v>
      </c>
      <c r="K7" s="34">
        <f>SUM(I7:J7)</f>
        <v>315</v>
      </c>
      <c r="L7" s="20">
        <v>186.7</v>
      </c>
      <c r="M7" s="36">
        <f>(I7+L7)</f>
        <v>209.7</v>
      </c>
      <c r="N7" s="344">
        <v>14</v>
      </c>
      <c r="O7" s="344">
        <v>220</v>
      </c>
      <c r="P7" s="183">
        <f t="shared" ref="P7:P22" si="2">M7/O7</f>
        <v>0.95318181818181813</v>
      </c>
      <c r="Q7" s="20">
        <v>145</v>
      </c>
      <c r="R7" s="20">
        <v>1</v>
      </c>
      <c r="S7" s="300">
        <v>2098734</v>
      </c>
      <c r="T7" s="35">
        <f>SUM(U7:V7)</f>
        <v>2232862</v>
      </c>
      <c r="U7" s="341">
        <v>1958005</v>
      </c>
      <c r="V7" s="24">
        <v>274857</v>
      </c>
      <c r="W7" s="185">
        <f t="shared" ref="W7:W22" si="3">V7/T7</f>
        <v>0.12309627733375372</v>
      </c>
    </row>
    <row r="8" spans="1:220" s="78" customFormat="1">
      <c r="A8" s="95">
        <v>2016</v>
      </c>
      <c r="B8" s="63">
        <v>9</v>
      </c>
      <c r="C8" s="63">
        <v>2</v>
      </c>
      <c r="D8" s="81">
        <f>B8+C8</f>
        <v>11</v>
      </c>
      <c r="E8" s="82">
        <f>ROUND((O8/B8), 0)</f>
        <v>25</v>
      </c>
      <c r="F8" s="82">
        <f>ROUND((O8/D8), 0)</f>
        <v>20</v>
      </c>
      <c r="G8" s="63">
        <v>9</v>
      </c>
      <c r="H8" s="63">
        <v>2</v>
      </c>
      <c r="I8" s="63">
        <v>23</v>
      </c>
      <c r="J8" s="63">
        <v>261</v>
      </c>
      <c r="K8" s="81">
        <f>I8+J8</f>
        <v>284</v>
      </c>
      <c r="L8" s="63">
        <v>162</v>
      </c>
      <c r="M8" s="82">
        <f>I8+L8</f>
        <v>185</v>
      </c>
      <c r="N8" s="63">
        <v>20</v>
      </c>
      <c r="O8" s="63">
        <v>223</v>
      </c>
      <c r="P8" s="183">
        <f t="shared" si="2"/>
        <v>0.82959641255605376</v>
      </c>
      <c r="Q8" s="63">
        <v>140</v>
      </c>
      <c r="R8" s="63">
        <v>9</v>
      </c>
      <c r="S8" s="64">
        <v>1792772</v>
      </c>
      <c r="T8" s="85">
        <f>SUM(U8:V8)</f>
        <v>1972144</v>
      </c>
      <c r="U8" s="64">
        <v>1105860</v>
      </c>
      <c r="V8" s="64">
        <v>866284</v>
      </c>
      <c r="W8" s="185">
        <f t="shared" si="3"/>
        <v>0.43926001346757643</v>
      </c>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row>
    <row r="9" spans="1:220" s="79" customFormat="1">
      <c r="A9" s="90">
        <v>2015</v>
      </c>
      <c r="B9" s="91">
        <v>8</v>
      </c>
      <c r="C9" s="91">
        <v>4.5</v>
      </c>
      <c r="D9" s="81">
        <v>12.5</v>
      </c>
      <c r="E9" s="81">
        <v>29</v>
      </c>
      <c r="F9" s="81">
        <v>18.600000000000001</v>
      </c>
      <c r="G9" s="111"/>
      <c r="H9" s="111"/>
      <c r="I9" s="91">
        <v>36</v>
      </c>
      <c r="J9" s="91">
        <v>284</v>
      </c>
      <c r="K9" s="81">
        <v>320</v>
      </c>
      <c r="L9" s="91">
        <v>182</v>
      </c>
      <c r="M9" s="81">
        <v>218</v>
      </c>
      <c r="N9" s="91">
        <v>33</v>
      </c>
      <c r="O9" s="91">
        <v>232</v>
      </c>
      <c r="P9" s="183">
        <f t="shared" si="2"/>
        <v>0.93965517241379315</v>
      </c>
      <c r="Q9" s="91">
        <v>217</v>
      </c>
      <c r="R9" s="91">
        <v>6</v>
      </c>
      <c r="S9" s="102">
        <v>1662492</v>
      </c>
      <c r="T9" s="103">
        <v>1898346</v>
      </c>
      <c r="U9" s="102">
        <v>1054680</v>
      </c>
      <c r="V9" s="102">
        <v>843666</v>
      </c>
      <c r="W9" s="185">
        <f t="shared" si="3"/>
        <v>0.44442161755549303</v>
      </c>
    </row>
    <row r="10" spans="1:220" s="71" customFormat="1">
      <c r="A10" s="90">
        <v>2014</v>
      </c>
      <c r="B10" s="91">
        <v>8</v>
      </c>
      <c r="C10" s="91">
        <v>5.1100000000000003</v>
      </c>
      <c r="D10" s="81">
        <f>B10+C10</f>
        <v>13.11</v>
      </c>
      <c r="E10" s="82">
        <f t="shared" ref="E10:E22" si="4">ROUND((O10/B10), 0)</f>
        <v>28</v>
      </c>
      <c r="F10" s="82">
        <f t="shared" ref="F10:F22" si="5">ROUND((O10/D10), 0)</f>
        <v>17</v>
      </c>
      <c r="G10" s="111"/>
      <c r="H10" s="111"/>
      <c r="I10" s="91">
        <v>18</v>
      </c>
      <c r="J10" s="91">
        <v>307</v>
      </c>
      <c r="K10" s="81">
        <f>I10+J10</f>
        <v>325</v>
      </c>
      <c r="L10" s="91">
        <v>188.3</v>
      </c>
      <c r="M10" s="82">
        <f>I10+L10</f>
        <v>206.3</v>
      </c>
      <c r="N10" s="91">
        <v>36</v>
      </c>
      <c r="O10" s="91">
        <v>220</v>
      </c>
      <c r="P10" s="183">
        <f t="shared" si="2"/>
        <v>0.93772727272727274</v>
      </c>
      <c r="Q10" s="91">
        <v>111</v>
      </c>
      <c r="R10" s="91">
        <v>4</v>
      </c>
      <c r="S10" s="92">
        <v>2075944</v>
      </c>
      <c r="T10" s="85">
        <f t="shared" ref="T10:T22" si="6">SUM(U10:V10)</f>
        <v>2080306</v>
      </c>
      <c r="U10" s="92">
        <v>2080306</v>
      </c>
      <c r="V10" s="92">
        <v>0</v>
      </c>
      <c r="W10" s="185">
        <f t="shared" si="3"/>
        <v>0</v>
      </c>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row>
    <row r="11" spans="1:220" s="71" customFormat="1">
      <c r="A11" s="90">
        <v>2013</v>
      </c>
      <c r="B11" s="353">
        <v>8</v>
      </c>
      <c r="C11" s="353">
        <v>2.78</v>
      </c>
      <c r="D11" s="108">
        <f>B11+C11</f>
        <v>10.78</v>
      </c>
      <c r="E11" s="109">
        <f t="shared" si="4"/>
        <v>26</v>
      </c>
      <c r="F11" s="109">
        <f t="shared" si="5"/>
        <v>19</v>
      </c>
      <c r="G11" s="113"/>
      <c r="H11" s="113"/>
      <c r="I11" s="353">
        <v>11</v>
      </c>
      <c r="J11" s="353">
        <v>290</v>
      </c>
      <c r="K11" s="108">
        <f>I11+J11</f>
        <v>301</v>
      </c>
      <c r="L11" s="353">
        <v>187.8</v>
      </c>
      <c r="M11" s="109">
        <f>I11+L11</f>
        <v>198.8</v>
      </c>
      <c r="N11" s="353">
        <v>18</v>
      </c>
      <c r="O11" s="353">
        <v>207</v>
      </c>
      <c r="P11" s="183">
        <f t="shared" si="2"/>
        <v>0.96038647342995176</v>
      </c>
      <c r="Q11" s="353">
        <v>139</v>
      </c>
      <c r="R11" s="353">
        <v>3</v>
      </c>
      <c r="S11" s="112">
        <v>1965460</v>
      </c>
      <c r="T11" s="110">
        <f t="shared" si="6"/>
        <v>1984306</v>
      </c>
      <c r="U11" s="112">
        <v>1984306</v>
      </c>
      <c r="V11" s="112">
        <v>0</v>
      </c>
      <c r="W11" s="185">
        <f t="shared" si="3"/>
        <v>0</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row>
    <row r="12" spans="1:220" s="71" customFormat="1">
      <c r="A12" s="90">
        <v>2012</v>
      </c>
      <c r="B12" s="353">
        <v>8</v>
      </c>
      <c r="C12" s="353">
        <v>3.11</v>
      </c>
      <c r="D12" s="108">
        <f>B12+C12</f>
        <v>11.11</v>
      </c>
      <c r="E12" s="109">
        <f t="shared" si="4"/>
        <v>25</v>
      </c>
      <c r="F12" s="109">
        <f t="shared" si="5"/>
        <v>18</v>
      </c>
      <c r="G12" s="113"/>
      <c r="H12" s="113"/>
      <c r="I12" s="353">
        <v>23</v>
      </c>
      <c r="J12" s="353">
        <v>261</v>
      </c>
      <c r="K12" s="108">
        <f>I12+J12</f>
        <v>284</v>
      </c>
      <c r="L12" s="353">
        <v>167.60000000000002</v>
      </c>
      <c r="M12" s="109">
        <f>I12+L12</f>
        <v>190.60000000000002</v>
      </c>
      <c r="N12" s="353">
        <v>20</v>
      </c>
      <c r="O12" s="353">
        <v>201.70000000000005</v>
      </c>
      <c r="P12" s="183">
        <f t="shared" si="2"/>
        <v>0.94496777392166575</v>
      </c>
      <c r="Q12" s="353">
        <v>157</v>
      </c>
      <c r="R12" s="353">
        <v>10</v>
      </c>
      <c r="S12" s="112">
        <v>1499753</v>
      </c>
      <c r="T12" s="110">
        <f t="shared" si="6"/>
        <v>1901346</v>
      </c>
      <c r="U12" s="112">
        <v>1054680</v>
      </c>
      <c r="V12" s="112">
        <v>846666</v>
      </c>
      <c r="W12" s="185">
        <f t="shared" si="3"/>
        <v>0.44529822557283105</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row>
    <row r="13" spans="1:220" s="71" customFormat="1">
      <c r="A13" s="90" t="s">
        <v>81</v>
      </c>
      <c r="B13" s="353">
        <v>8</v>
      </c>
      <c r="C13" s="353">
        <v>3.44</v>
      </c>
      <c r="D13" s="108">
        <f t="shared" ref="D13:D22" si="7">SUM(B13:C13)</f>
        <v>11.44</v>
      </c>
      <c r="E13" s="109">
        <f t="shared" si="4"/>
        <v>27</v>
      </c>
      <c r="F13" s="109">
        <f t="shared" si="5"/>
        <v>19</v>
      </c>
      <c r="G13" s="113"/>
      <c r="H13" s="113"/>
      <c r="I13" s="353">
        <v>23</v>
      </c>
      <c r="J13" s="353">
        <v>312</v>
      </c>
      <c r="K13" s="108">
        <f t="shared" ref="K13:K22" si="8">SUM(I13:J13)</f>
        <v>335</v>
      </c>
      <c r="L13" s="353">
        <v>191</v>
      </c>
      <c r="M13" s="109">
        <f t="shared" ref="M13:M22" si="9">(I13+L13)</f>
        <v>214</v>
      </c>
      <c r="N13" s="353">
        <v>27</v>
      </c>
      <c r="O13" s="353">
        <v>214</v>
      </c>
      <c r="P13" s="183">
        <f t="shared" si="2"/>
        <v>1</v>
      </c>
      <c r="Q13" s="353">
        <v>133</v>
      </c>
      <c r="R13" s="353">
        <v>7</v>
      </c>
      <c r="S13" s="112">
        <v>1882759</v>
      </c>
      <c r="T13" s="110">
        <f t="shared" si="6"/>
        <v>1966793</v>
      </c>
      <c r="U13" s="112">
        <v>1043890</v>
      </c>
      <c r="V13" s="112">
        <v>922903</v>
      </c>
      <c r="W13" s="185">
        <f t="shared" si="3"/>
        <v>0.46924256899429678</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row>
    <row r="14" spans="1:220" s="71" customFormat="1">
      <c r="A14" s="90" t="s">
        <v>82</v>
      </c>
      <c r="B14" s="353">
        <v>7</v>
      </c>
      <c r="C14" s="353">
        <v>4.5599999999999996</v>
      </c>
      <c r="D14" s="108">
        <f t="shared" si="7"/>
        <v>11.559999999999999</v>
      </c>
      <c r="E14" s="109">
        <f t="shared" si="4"/>
        <v>34</v>
      </c>
      <c r="F14" s="109">
        <f t="shared" si="5"/>
        <v>20</v>
      </c>
      <c r="G14" s="113"/>
      <c r="H14" s="113"/>
      <c r="I14" s="353">
        <v>21</v>
      </c>
      <c r="J14" s="353">
        <v>320</v>
      </c>
      <c r="K14" s="108">
        <f t="shared" si="8"/>
        <v>341</v>
      </c>
      <c r="L14" s="353">
        <v>206.3</v>
      </c>
      <c r="M14" s="109">
        <f t="shared" si="9"/>
        <v>227.3</v>
      </c>
      <c r="N14" s="353">
        <v>31</v>
      </c>
      <c r="O14" s="353">
        <v>235.8</v>
      </c>
      <c r="P14" s="183">
        <f t="shared" si="2"/>
        <v>0.96395250212044103</v>
      </c>
      <c r="Q14" s="353">
        <v>127</v>
      </c>
      <c r="R14" s="353">
        <v>6</v>
      </c>
      <c r="S14" s="112">
        <v>1898447</v>
      </c>
      <c r="T14" s="110">
        <f t="shared" si="6"/>
        <v>2021111</v>
      </c>
      <c r="U14" s="112">
        <v>1043890</v>
      </c>
      <c r="V14" s="112">
        <v>977221</v>
      </c>
      <c r="W14" s="185">
        <f t="shared" si="3"/>
        <v>0.48350684351329543</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row>
    <row r="15" spans="1:220" s="71" customFormat="1">
      <c r="A15" s="90" t="s">
        <v>83</v>
      </c>
      <c r="B15" s="353">
        <v>7</v>
      </c>
      <c r="C15" s="353">
        <v>4.5599999999999996</v>
      </c>
      <c r="D15" s="108">
        <f t="shared" si="7"/>
        <v>11.559999999999999</v>
      </c>
      <c r="E15" s="109">
        <f t="shared" si="4"/>
        <v>35</v>
      </c>
      <c r="F15" s="109">
        <f t="shared" si="5"/>
        <v>21</v>
      </c>
      <c r="G15" s="113"/>
      <c r="H15" s="113"/>
      <c r="I15" s="353">
        <v>19</v>
      </c>
      <c r="J15" s="353">
        <v>287</v>
      </c>
      <c r="K15" s="108">
        <f t="shared" si="8"/>
        <v>306</v>
      </c>
      <c r="L15" s="353">
        <v>181.6</v>
      </c>
      <c r="M15" s="109">
        <f t="shared" si="9"/>
        <v>200.6</v>
      </c>
      <c r="N15" s="353">
        <v>25</v>
      </c>
      <c r="O15" s="353">
        <v>245.8</v>
      </c>
      <c r="P15" s="183">
        <f t="shared" si="2"/>
        <v>0.81611065907241653</v>
      </c>
      <c r="Q15" s="353">
        <v>119</v>
      </c>
      <c r="R15" s="353">
        <v>8</v>
      </c>
      <c r="S15" s="112">
        <v>1921236</v>
      </c>
      <c r="T15" s="110">
        <f t="shared" si="6"/>
        <v>2096619</v>
      </c>
      <c r="U15" s="112">
        <v>1143872</v>
      </c>
      <c r="V15" s="112">
        <v>952747</v>
      </c>
      <c r="W15" s="185">
        <f t="shared" si="3"/>
        <v>0.45442066488951977</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row>
    <row r="16" spans="1:220" s="71" customFormat="1">
      <c r="A16" s="90" t="s">
        <v>84</v>
      </c>
      <c r="B16" s="353">
        <v>11</v>
      </c>
      <c r="C16" s="353">
        <v>9.67</v>
      </c>
      <c r="D16" s="108">
        <f t="shared" si="7"/>
        <v>20.67</v>
      </c>
      <c r="E16" s="109">
        <f t="shared" si="4"/>
        <v>20</v>
      </c>
      <c r="F16" s="109">
        <f t="shared" si="5"/>
        <v>10</v>
      </c>
      <c r="G16" s="113"/>
      <c r="H16" s="113"/>
      <c r="I16" s="353">
        <v>54</v>
      </c>
      <c r="J16" s="353">
        <v>237</v>
      </c>
      <c r="K16" s="108">
        <f t="shared" si="8"/>
        <v>291</v>
      </c>
      <c r="L16" s="353">
        <v>125</v>
      </c>
      <c r="M16" s="109">
        <f t="shared" si="9"/>
        <v>179</v>
      </c>
      <c r="N16" s="353">
        <v>20</v>
      </c>
      <c r="O16" s="353">
        <v>217</v>
      </c>
      <c r="P16" s="183">
        <f t="shared" si="2"/>
        <v>0.82488479262672809</v>
      </c>
      <c r="Q16" s="353">
        <v>115</v>
      </c>
      <c r="R16" s="353">
        <v>9</v>
      </c>
      <c r="S16" s="112">
        <v>1879026.82</v>
      </c>
      <c r="T16" s="110">
        <f t="shared" si="6"/>
        <v>2093175</v>
      </c>
      <c r="U16" s="112">
        <v>1190966</v>
      </c>
      <c r="V16" s="112">
        <v>902209</v>
      </c>
      <c r="W16" s="185">
        <f t="shared" si="3"/>
        <v>0.43102416185937631</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row>
    <row r="17" spans="1:67" s="71" customFormat="1">
      <c r="A17" s="90">
        <v>2007</v>
      </c>
      <c r="B17" s="353">
        <v>11</v>
      </c>
      <c r="C17" s="353">
        <v>4.8899999999999997</v>
      </c>
      <c r="D17" s="194">
        <f t="shared" si="7"/>
        <v>15.89</v>
      </c>
      <c r="E17" s="109">
        <f t="shared" si="4"/>
        <v>20</v>
      </c>
      <c r="F17" s="109">
        <f t="shared" si="5"/>
        <v>14</v>
      </c>
      <c r="G17" s="113"/>
      <c r="H17" s="113"/>
      <c r="I17" s="353">
        <v>51</v>
      </c>
      <c r="J17" s="353">
        <v>261</v>
      </c>
      <c r="K17" s="194">
        <f t="shared" si="8"/>
        <v>312</v>
      </c>
      <c r="L17" s="353">
        <v>131</v>
      </c>
      <c r="M17" s="109">
        <f t="shared" si="9"/>
        <v>182</v>
      </c>
      <c r="N17" s="353">
        <v>26</v>
      </c>
      <c r="O17" s="353">
        <v>220</v>
      </c>
      <c r="P17" s="183">
        <f t="shared" si="2"/>
        <v>0.82727272727272727</v>
      </c>
      <c r="Q17" s="353">
        <v>60</v>
      </c>
      <c r="R17" s="353">
        <v>9</v>
      </c>
      <c r="S17" s="192">
        <v>1862258</v>
      </c>
      <c r="T17" s="110">
        <f t="shared" si="6"/>
        <v>2001600</v>
      </c>
      <c r="U17" s="192">
        <v>1064052</v>
      </c>
      <c r="V17" s="192">
        <v>937548</v>
      </c>
      <c r="W17" s="185">
        <f t="shared" si="3"/>
        <v>0.46839928057553959</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row>
    <row r="18" spans="1:67" s="71" customFormat="1">
      <c r="A18" s="90">
        <v>2006</v>
      </c>
      <c r="B18" s="353">
        <v>10</v>
      </c>
      <c r="C18" s="353">
        <v>8</v>
      </c>
      <c r="D18" s="194">
        <f t="shared" si="7"/>
        <v>18</v>
      </c>
      <c r="E18" s="109">
        <f t="shared" si="4"/>
        <v>24</v>
      </c>
      <c r="F18" s="109">
        <f t="shared" si="5"/>
        <v>13</v>
      </c>
      <c r="G18" s="113"/>
      <c r="H18" s="113"/>
      <c r="I18" s="353">
        <v>58</v>
      </c>
      <c r="J18" s="353">
        <v>251</v>
      </c>
      <c r="K18" s="194">
        <f t="shared" si="8"/>
        <v>309</v>
      </c>
      <c r="L18" s="353">
        <v>139</v>
      </c>
      <c r="M18" s="109">
        <f t="shared" si="9"/>
        <v>197</v>
      </c>
      <c r="N18" s="353">
        <v>10</v>
      </c>
      <c r="O18" s="353">
        <v>241</v>
      </c>
      <c r="P18" s="183">
        <f t="shared" si="2"/>
        <v>0.81742738589211617</v>
      </c>
      <c r="Q18" s="353">
        <v>119</v>
      </c>
      <c r="R18" s="353">
        <v>2</v>
      </c>
      <c r="S18" s="192">
        <v>1988978</v>
      </c>
      <c r="T18" s="110">
        <f t="shared" si="6"/>
        <v>2994112</v>
      </c>
      <c r="U18" s="192">
        <v>1151353</v>
      </c>
      <c r="V18" s="192">
        <v>1842759</v>
      </c>
      <c r="W18" s="185">
        <f t="shared" si="3"/>
        <v>0.61546094468076007</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row>
    <row r="19" spans="1:67" s="71" customFormat="1">
      <c r="A19" s="90">
        <v>2005</v>
      </c>
      <c r="B19" s="353">
        <v>11</v>
      </c>
      <c r="C19" s="353">
        <v>6</v>
      </c>
      <c r="D19" s="194">
        <f t="shared" si="7"/>
        <v>17</v>
      </c>
      <c r="E19" s="109">
        <f t="shared" si="4"/>
        <v>21</v>
      </c>
      <c r="F19" s="109">
        <f t="shared" si="5"/>
        <v>14</v>
      </c>
      <c r="G19" s="113"/>
      <c r="H19" s="113"/>
      <c r="I19" s="353">
        <v>73</v>
      </c>
      <c r="J19" s="353">
        <v>191</v>
      </c>
      <c r="K19" s="194">
        <f t="shared" si="8"/>
        <v>264</v>
      </c>
      <c r="L19" s="353">
        <v>128</v>
      </c>
      <c r="M19" s="109">
        <f t="shared" si="9"/>
        <v>201</v>
      </c>
      <c r="N19" s="353">
        <v>9</v>
      </c>
      <c r="O19" s="353">
        <v>233</v>
      </c>
      <c r="P19" s="183">
        <f t="shared" si="2"/>
        <v>0.86266094420600858</v>
      </c>
      <c r="Q19" s="353">
        <v>87</v>
      </c>
      <c r="R19" s="353">
        <v>5</v>
      </c>
      <c r="S19" s="192">
        <v>2045539</v>
      </c>
      <c r="T19" s="110">
        <f t="shared" si="6"/>
        <v>2124022</v>
      </c>
      <c r="U19" s="192">
        <v>1074745</v>
      </c>
      <c r="V19" s="192">
        <v>1049277</v>
      </c>
      <c r="W19" s="185">
        <f t="shared" si="3"/>
        <v>0.49400477019541228</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row>
    <row r="20" spans="1:67" s="71" customFormat="1">
      <c r="A20" s="90">
        <v>2004</v>
      </c>
      <c r="B20" s="195">
        <v>10</v>
      </c>
      <c r="C20" s="195">
        <v>7</v>
      </c>
      <c r="D20" s="194">
        <f t="shared" si="7"/>
        <v>17</v>
      </c>
      <c r="E20" s="109">
        <f t="shared" si="4"/>
        <v>26</v>
      </c>
      <c r="F20" s="109">
        <f t="shared" si="5"/>
        <v>15</v>
      </c>
      <c r="G20" s="113"/>
      <c r="H20" s="113"/>
      <c r="I20" s="195">
        <v>61</v>
      </c>
      <c r="J20" s="195">
        <v>278</v>
      </c>
      <c r="K20" s="194">
        <f t="shared" si="8"/>
        <v>339</v>
      </c>
      <c r="L20" s="195">
        <v>146</v>
      </c>
      <c r="M20" s="109">
        <f t="shared" si="9"/>
        <v>207</v>
      </c>
      <c r="N20" s="195">
        <v>9</v>
      </c>
      <c r="O20" s="195">
        <v>257</v>
      </c>
      <c r="P20" s="183">
        <f t="shared" si="2"/>
        <v>0.80544747081712065</v>
      </c>
      <c r="Q20" s="195">
        <v>110</v>
      </c>
      <c r="R20" s="353">
        <v>5</v>
      </c>
      <c r="S20" s="192">
        <v>2027107</v>
      </c>
      <c r="T20" s="110">
        <f t="shared" si="6"/>
        <v>2079250</v>
      </c>
      <c r="U20" s="192">
        <v>1036672</v>
      </c>
      <c r="V20" s="192">
        <v>1042578</v>
      </c>
      <c r="W20" s="185">
        <f t="shared" si="3"/>
        <v>0.50142022363833116</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row>
    <row r="21" spans="1:67" s="71" customFormat="1">
      <c r="A21" s="90">
        <v>2003</v>
      </c>
      <c r="B21" s="195">
        <v>9</v>
      </c>
      <c r="C21" s="195">
        <f>ROUND(8.5, 0)</f>
        <v>9</v>
      </c>
      <c r="D21" s="194">
        <f t="shared" si="7"/>
        <v>18</v>
      </c>
      <c r="E21" s="109">
        <f t="shared" si="4"/>
        <v>36</v>
      </c>
      <c r="F21" s="109">
        <f t="shared" si="5"/>
        <v>18</v>
      </c>
      <c r="G21" s="113"/>
      <c r="H21" s="113"/>
      <c r="I21" s="195">
        <v>102</v>
      </c>
      <c r="J21" s="195">
        <v>322</v>
      </c>
      <c r="K21" s="194">
        <f t="shared" si="8"/>
        <v>424</v>
      </c>
      <c r="L21" s="195">
        <f>ROUND(167.3, 0)</f>
        <v>167</v>
      </c>
      <c r="M21" s="109">
        <f t="shared" si="9"/>
        <v>269</v>
      </c>
      <c r="N21" s="195">
        <v>12</v>
      </c>
      <c r="O21" s="195">
        <v>327</v>
      </c>
      <c r="P21" s="183">
        <f t="shared" si="2"/>
        <v>0.82262996941896027</v>
      </c>
      <c r="Q21" s="195">
        <v>94</v>
      </c>
      <c r="R21" s="353">
        <v>0</v>
      </c>
      <c r="S21" s="192">
        <v>1969201</v>
      </c>
      <c r="T21" s="110">
        <f t="shared" si="6"/>
        <v>2342041</v>
      </c>
      <c r="U21" s="192">
        <v>995006</v>
      </c>
      <c r="V21" s="192">
        <v>1347035</v>
      </c>
      <c r="W21" s="185">
        <f t="shared" si="3"/>
        <v>0.57515432052641269</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row>
    <row r="22" spans="1:67" s="71" customFormat="1">
      <c r="A22" s="90">
        <v>2002</v>
      </c>
      <c r="B22" s="195">
        <v>11</v>
      </c>
      <c r="C22" s="195">
        <f>ROUND(5.33, 0)</f>
        <v>5</v>
      </c>
      <c r="D22" s="194">
        <f t="shared" si="7"/>
        <v>16</v>
      </c>
      <c r="E22" s="109">
        <f t="shared" si="4"/>
        <v>22</v>
      </c>
      <c r="F22" s="109">
        <f t="shared" si="5"/>
        <v>15</v>
      </c>
      <c r="G22" s="113"/>
      <c r="H22" s="113"/>
      <c r="I22" s="195">
        <v>67</v>
      </c>
      <c r="J22" s="195">
        <v>297</v>
      </c>
      <c r="K22" s="194">
        <f t="shared" si="8"/>
        <v>364</v>
      </c>
      <c r="L22" s="195">
        <f>ROUND(153, 0)</f>
        <v>153</v>
      </c>
      <c r="M22" s="109">
        <f t="shared" si="9"/>
        <v>220</v>
      </c>
      <c r="N22" s="195">
        <v>11</v>
      </c>
      <c r="O22" s="195">
        <f>ROUND(239.57, 0)</f>
        <v>240</v>
      </c>
      <c r="P22" s="183">
        <f t="shared" si="2"/>
        <v>0.91666666666666663</v>
      </c>
      <c r="Q22" s="195">
        <v>133</v>
      </c>
      <c r="R22" s="353">
        <v>4</v>
      </c>
      <c r="S22" s="192">
        <v>1827564</v>
      </c>
      <c r="T22" s="110">
        <f t="shared" si="6"/>
        <v>2172794</v>
      </c>
      <c r="U22" s="192">
        <v>1013811</v>
      </c>
      <c r="V22" s="192">
        <v>1158983</v>
      </c>
      <c r="W22" s="185">
        <f t="shared" si="3"/>
        <v>0.53340675646195634</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row>
    <row r="23" spans="1:67" s="14" customFormat="1" ht="20.25" customHeight="1">
      <c r="A23" s="677" t="s">
        <v>167</v>
      </c>
      <c r="B23" s="678"/>
      <c r="C23" s="678"/>
      <c r="D23" s="678"/>
      <c r="E23" s="678"/>
      <c r="F23" s="678"/>
      <c r="G23" s="678"/>
      <c r="H23" s="678"/>
      <c r="I23" s="678"/>
      <c r="J23" s="678"/>
      <c r="K23" s="678"/>
      <c r="L23" s="678"/>
      <c r="M23" s="678"/>
      <c r="N23" s="678"/>
      <c r="O23" s="678"/>
      <c r="P23" s="678"/>
      <c r="Q23" s="678"/>
      <c r="R23" s="678"/>
      <c r="S23" s="678"/>
      <c r="T23" s="678"/>
      <c r="U23" s="678"/>
      <c r="V23" s="678"/>
      <c r="W23" s="679"/>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row>
    <row r="24" spans="1:67" s="14" customFormat="1">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row>
    <row r="25" spans="1:67" s="14" customFormat="1">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row>
    <row r="26" spans="1:67" s="14" customFormat="1">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row>
    <row r="27" spans="1:67"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row>
    <row r="28" spans="1:67"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row>
    <row r="29" spans="1:67"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c r="BN29" s="383"/>
      <c r="BO29" s="383"/>
    </row>
    <row r="30" spans="1:67"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row>
    <row r="31" spans="1:67"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row>
    <row r="32" spans="1:67"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row>
    <row r="33" spans="24:67"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row>
  </sheetData>
  <mergeCells count="1">
    <mergeCell ref="A23:W23"/>
  </mergeCells>
  <printOptions headings="1" gridLines="1"/>
  <pageMargins left="0.5" right="0.5" top="0.5" bottom="0.5" header="0" footer="0"/>
  <pageSetup paperSize="5" scale="65" orientation="landscape" r:id="rId1"/>
  <legacy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L34"/>
  <sheetViews>
    <sheetView workbookViewId="0">
      <selection activeCell="B3" sqref="B3"/>
    </sheetView>
  </sheetViews>
  <sheetFormatPr defaultColWidth="8.85546875" defaultRowHeight="15"/>
  <cols>
    <col min="1" max="1" width="9.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4.28515625" customWidth="1"/>
    <col min="24" max="65" width="8.85546875" style="376"/>
  </cols>
  <sheetData>
    <row r="1" spans="1:220" s="1" customFormat="1" ht="18.75">
      <c r="A1" s="1" t="s">
        <v>5</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3" spans="1:220" s="552" customFormat="1">
      <c r="A3" s="541">
        <v>2021</v>
      </c>
      <c r="B3" s="542">
        <v>30</v>
      </c>
      <c r="C3" s="542">
        <v>8.5</v>
      </c>
      <c r="D3" s="543">
        <f t="shared" ref="D3" si="0">SUM(B3:C3)</f>
        <v>38.5</v>
      </c>
      <c r="E3" s="544">
        <f t="shared" ref="E3" si="1">ROUND((O3/B3), 0)</f>
        <v>24</v>
      </c>
      <c r="F3" s="544">
        <f t="shared" ref="F3" si="2">ROUND((O3/D3), 0)</f>
        <v>19</v>
      </c>
      <c r="G3" s="542">
        <v>29</v>
      </c>
      <c r="H3" s="542">
        <v>8.5</v>
      </c>
      <c r="I3" s="542">
        <v>59</v>
      </c>
      <c r="J3" s="542">
        <v>281</v>
      </c>
      <c r="K3" s="543">
        <f>SUM(I3:J3)</f>
        <v>340</v>
      </c>
      <c r="L3" s="545">
        <v>158.66999999999999</v>
      </c>
      <c r="M3" s="544">
        <v>217.67</v>
      </c>
      <c r="N3" s="542">
        <v>110</v>
      </c>
      <c r="O3" s="542">
        <v>726.56</v>
      </c>
      <c r="P3" s="546">
        <f t="shared" ref="P3" si="3">M3/O3</f>
        <v>0.29958984805109007</v>
      </c>
      <c r="Q3" s="542">
        <v>108</v>
      </c>
      <c r="R3" s="542">
        <v>229</v>
      </c>
      <c r="S3" s="547">
        <v>7012967.25</v>
      </c>
      <c r="T3" s="548">
        <f>U3+V3</f>
        <v>7434636.6299999999</v>
      </c>
      <c r="U3" s="549">
        <v>6466012.6299999999</v>
      </c>
      <c r="V3" s="547">
        <v>968624</v>
      </c>
      <c r="W3" s="550">
        <f t="shared" ref="W3" si="4">V3/T3</f>
        <v>0.13028531832900084</v>
      </c>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row>
    <row r="4" spans="1:220" s="552" customFormat="1">
      <c r="A4" s="541">
        <v>2020</v>
      </c>
      <c r="B4" s="542">
        <v>28</v>
      </c>
      <c r="C4" s="542">
        <v>2.75</v>
      </c>
      <c r="D4" s="543">
        <f>SUM(B4:C4)</f>
        <v>30.75</v>
      </c>
      <c r="E4" s="544">
        <f>ROUND((O4/B4), 0)</f>
        <v>23</v>
      </c>
      <c r="F4" s="544">
        <f>ROUND((O4/D4), 0)</f>
        <v>21</v>
      </c>
      <c r="G4" s="542">
        <v>23</v>
      </c>
      <c r="H4" s="542">
        <v>2.75</v>
      </c>
      <c r="I4" s="542">
        <v>61</v>
      </c>
      <c r="J4" s="542">
        <v>227</v>
      </c>
      <c r="K4" s="543">
        <f>SUM(I4:J4)</f>
        <v>288</v>
      </c>
      <c r="L4" s="545">
        <v>131.99</v>
      </c>
      <c r="M4" s="544">
        <f>(I4+L4)</f>
        <v>192.99</v>
      </c>
      <c r="N4" s="542">
        <v>99</v>
      </c>
      <c r="O4" s="542">
        <v>657.63</v>
      </c>
      <c r="P4" s="546">
        <f>M4/O4</f>
        <v>0.29346288946672144</v>
      </c>
      <c r="Q4" s="542">
        <v>90</v>
      </c>
      <c r="R4" s="542">
        <v>241</v>
      </c>
      <c r="S4" s="547">
        <v>6517552.8099999996</v>
      </c>
      <c r="T4" s="548">
        <f t="shared" ref="T4" si="5">SUM(U4:V4)</f>
        <v>6881339.3900000006</v>
      </c>
      <c r="U4" s="549">
        <v>5862153.0700000003</v>
      </c>
      <c r="V4" s="547">
        <v>1019186.32</v>
      </c>
      <c r="W4" s="550">
        <f t="shared" ref="W4" si="6">V4/T4</f>
        <v>0.14810871288823321</v>
      </c>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c r="BF4" s="551"/>
      <c r="BG4" s="551"/>
      <c r="BH4" s="551"/>
      <c r="BI4" s="551"/>
      <c r="BJ4" s="551"/>
      <c r="BK4" s="551"/>
      <c r="BL4" s="551"/>
      <c r="BM4" s="551"/>
    </row>
    <row r="5" spans="1:220" s="17" customFormat="1">
      <c r="A5" s="11">
        <v>2019</v>
      </c>
      <c r="B5" s="409">
        <v>28</v>
      </c>
      <c r="C5" s="409">
        <v>3.5</v>
      </c>
      <c r="D5" s="410">
        <f>SUM(B5:C5)</f>
        <v>31.5</v>
      </c>
      <c r="E5" s="411">
        <f>ROUND((O5/B5), 0)</f>
        <v>21</v>
      </c>
      <c r="F5" s="411">
        <f>ROUND((O5/D5), 0)</f>
        <v>19</v>
      </c>
      <c r="G5" s="409">
        <v>23</v>
      </c>
      <c r="H5" s="409">
        <v>3.5</v>
      </c>
      <c r="I5" s="409">
        <f>12+46</f>
        <v>58</v>
      </c>
      <c r="J5" s="409">
        <f>42+160</f>
        <v>202</v>
      </c>
      <c r="K5" s="410">
        <f>SUM(I5:J5)</f>
        <v>260</v>
      </c>
      <c r="L5" s="434">
        <f>59.33+93.33</f>
        <v>152.66</v>
      </c>
      <c r="M5" s="411">
        <f>(I5+L5)</f>
        <v>210.66</v>
      </c>
      <c r="N5" s="409">
        <v>83</v>
      </c>
      <c r="O5" s="409">
        <v>600.79999999999995</v>
      </c>
      <c r="P5" s="413">
        <f>M5/O5</f>
        <v>0.35063249001331559</v>
      </c>
      <c r="Q5" s="409">
        <f>1+85+1</f>
        <v>87</v>
      </c>
      <c r="R5" s="409">
        <f>87+68+41+1+3</f>
        <v>200</v>
      </c>
      <c r="S5" s="414">
        <v>6086088</v>
      </c>
      <c r="T5" s="415">
        <f>SUM(U5:V5)</f>
        <v>5194961</v>
      </c>
      <c r="U5" s="446">
        <v>4685789</v>
      </c>
      <c r="V5" s="414">
        <f>341608+79550+50000+38014</f>
        <v>509172</v>
      </c>
      <c r="W5" s="335">
        <f>V5/T5</f>
        <v>9.8012670354984371E-2</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29</v>
      </c>
      <c r="C6" s="20">
        <v>2.75</v>
      </c>
      <c r="D6" s="29">
        <f>SUM(B6:C6)</f>
        <v>31.75</v>
      </c>
      <c r="E6" s="172">
        <f>ROUND((O6/B6), 0)</f>
        <v>30</v>
      </c>
      <c r="F6" s="172">
        <f>ROUND((O6/D6), 0)</f>
        <v>28</v>
      </c>
      <c r="G6" s="20">
        <v>16</v>
      </c>
      <c r="H6" s="20">
        <v>2.75</v>
      </c>
      <c r="I6" s="20">
        <v>47</v>
      </c>
      <c r="J6" s="20">
        <v>183</v>
      </c>
      <c r="K6" s="29">
        <f t="shared" ref="K6" si="7">SUM(I6:J6)</f>
        <v>230</v>
      </c>
      <c r="L6" s="20">
        <v>107</v>
      </c>
      <c r="M6" s="172">
        <f>(I6+L6)</f>
        <v>154</v>
      </c>
      <c r="N6" s="20">
        <v>74</v>
      </c>
      <c r="O6" s="20">
        <v>874</v>
      </c>
      <c r="P6" s="183">
        <f t="shared" ref="P6" si="8">M6/O6</f>
        <v>0.17620137299771166</v>
      </c>
      <c r="Q6" s="20">
        <v>95</v>
      </c>
      <c r="R6" s="20">
        <v>215</v>
      </c>
      <c r="S6" s="24">
        <v>5952817.9199999999</v>
      </c>
      <c r="T6" s="30">
        <f>SUM(U6:V6)</f>
        <v>7069820.7800000003</v>
      </c>
      <c r="U6" s="24">
        <v>5883852.2400000002</v>
      </c>
      <c r="V6" s="24">
        <v>1185968.54</v>
      </c>
      <c r="W6" s="185">
        <f>V6/T6</f>
        <v>0.16775086341014714</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25</v>
      </c>
      <c r="C7" s="20">
        <v>4.25</v>
      </c>
      <c r="D7" s="34">
        <f>SUM(B7:C7)</f>
        <v>29.25</v>
      </c>
      <c r="E7" s="34">
        <f>ROUND((O7/B7), 0)</f>
        <v>34</v>
      </c>
      <c r="F7" s="34">
        <f>ROUND((O7/D7), 0)</f>
        <v>29</v>
      </c>
      <c r="G7" s="20">
        <v>23</v>
      </c>
      <c r="H7" s="20">
        <v>1.25</v>
      </c>
      <c r="I7" s="20">
        <v>49</v>
      </c>
      <c r="J7" s="20">
        <v>168</v>
      </c>
      <c r="K7" s="34">
        <f>SUM(I7:J7)</f>
        <v>217</v>
      </c>
      <c r="L7" s="20">
        <v>97</v>
      </c>
      <c r="M7" s="36">
        <f>(I7+L7)</f>
        <v>146</v>
      </c>
      <c r="N7" s="344">
        <v>70</v>
      </c>
      <c r="O7" s="344">
        <v>848.55560000000003</v>
      </c>
      <c r="P7" s="335">
        <f>M7/O7</f>
        <v>0.17205708146879237</v>
      </c>
      <c r="Q7" s="20">
        <v>87</v>
      </c>
      <c r="R7" s="20">
        <v>226</v>
      </c>
      <c r="S7" s="300">
        <v>5837028</v>
      </c>
      <c r="T7" s="35">
        <f>SUM(U7:V7)</f>
        <v>5914555</v>
      </c>
      <c r="U7" s="345">
        <v>5024357</v>
      </c>
      <c r="V7" s="24">
        <v>890198</v>
      </c>
      <c r="W7" s="185">
        <f t="shared" ref="W7:W22" si="9">V7/T7</f>
        <v>0.15050971713002922</v>
      </c>
    </row>
    <row r="8" spans="1:220" s="75" customFormat="1">
      <c r="A8" s="95">
        <v>2016</v>
      </c>
      <c r="B8" s="63">
        <v>25</v>
      </c>
      <c r="C8" s="63">
        <v>5.65</v>
      </c>
      <c r="D8" s="81">
        <f>SUM(B8:C8)</f>
        <v>30.65</v>
      </c>
      <c r="E8" s="82">
        <f>ROUND((O8/B8), 0)</f>
        <v>34</v>
      </c>
      <c r="F8" s="82">
        <f>ROUND((O8/D8), 0)</f>
        <v>28</v>
      </c>
      <c r="G8" s="63">
        <v>25</v>
      </c>
      <c r="H8" s="63">
        <v>5.65</v>
      </c>
      <c r="I8" s="63">
        <v>45</v>
      </c>
      <c r="J8" s="63">
        <v>181</v>
      </c>
      <c r="K8" s="81">
        <f>I8+J8</f>
        <v>226</v>
      </c>
      <c r="L8" s="63">
        <v>102</v>
      </c>
      <c r="M8" s="82">
        <f>I8+L8</f>
        <v>147</v>
      </c>
      <c r="N8" s="63">
        <v>69</v>
      </c>
      <c r="O8" s="63">
        <v>855.6</v>
      </c>
      <c r="P8" s="336">
        <f>M8/O8</f>
        <v>0.17180925666199159</v>
      </c>
      <c r="Q8" s="63">
        <v>118</v>
      </c>
      <c r="R8" s="63">
        <v>207</v>
      </c>
      <c r="S8" s="64">
        <v>5648976</v>
      </c>
      <c r="T8" s="85">
        <f>SUM(U8:V8)</f>
        <v>5952534</v>
      </c>
      <c r="U8" s="64">
        <v>4022071</v>
      </c>
      <c r="V8" s="64">
        <v>1930463</v>
      </c>
      <c r="W8" s="185">
        <f t="shared" si="9"/>
        <v>0.32430944535554102</v>
      </c>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row>
    <row r="9" spans="1:220" s="105" customFormat="1">
      <c r="A9" s="90">
        <v>2015</v>
      </c>
      <c r="B9" s="91">
        <v>29</v>
      </c>
      <c r="C9" s="91">
        <v>1</v>
      </c>
      <c r="D9" s="81">
        <v>30</v>
      </c>
      <c r="E9" s="81">
        <v>25.1</v>
      </c>
      <c r="F9" s="81">
        <v>24.3</v>
      </c>
      <c r="G9" s="238"/>
      <c r="H9" s="238"/>
      <c r="I9" s="91">
        <v>45</v>
      </c>
      <c r="J9" s="91">
        <v>196</v>
      </c>
      <c r="K9" s="81">
        <v>241</v>
      </c>
      <c r="L9" s="91">
        <v>109</v>
      </c>
      <c r="M9" s="81">
        <v>153.9</v>
      </c>
      <c r="N9" s="91">
        <v>58</v>
      </c>
      <c r="O9" s="91">
        <v>745.3</v>
      </c>
      <c r="P9" s="336">
        <v>0.21</v>
      </c>
      <c r="Q9" s="91">
        <v>159</v>
      </c>
      <c r="R9" s="91">
        <v>228</v>
      </c>
      <c r="S9" s="102">
        <v>4928551</v>
      </c>
      <c r="T9" s="103">
        <v>5674985</v>
      </c>
      <c r="U9" s="102">
        <v>4320913</v>
      </c>
      <c r="V9" s="102">
        <v>1433494</v>
      </c>
      <c r="W9" s="185">
        <f t="shared" si="9"/>
        <v>0.25259872933584848</v>
      </c>
    </row>
    <row r="10" spans="1:220" s="168" customFormat="1">
      <c r="A10" s="90">
        <v>2014</v>
      </c>
      <c r="B10" s="91">
        <v>29</v>
      </c>
      <c r="C10" s="91">
        <v>9.5</v>
      </c>
      <c r="D10" s="81">
        <f t="shared" ref="D10:D22" si="10">SUM(B10:C10)</f>
        <v>38.5</v>
      </c>
      <c r="E10" s="82">
        <f t="shared" ref="E10:E22" si="11">ROUND((O10/B10), 0)</f>
        <v>30</v>
      </c>
      <c r="F10" s="82">
        <f t="shared" ref="F10:F22" si="12">ROUND((O10/D10), 0)</f>
        <v>23</v>
      </c>
      <c r="G10" s="238"/>
      <c r="H10" s="238"/>
      <c r="I10" s="91">
        <v>3</v>
      </c>
      <c r="J10" s="91">
        <v>292</v>
      </c>
      <c r="K10" s="81">
        <f>I10+J10</f>
        <v>295</v>
      </c>
      <c r="L10" s="91">
        <v>137.6</v>
      </c>
      <c r="M10" s="82">
        <f>I10+L10</f>
        <v>140.6</v>
      </c>
      <c r="N10" s="91">
        <v>62</v>
      </c>
      <c r="O10" s="91">
        <v>876</v>
      </c>
      <c r="P10" s="336">
        <f t="shared" ref="P10:P22" si="13">M10/O10</f>
        <v>0.16050228310502282</v>
      </c>
      <c r="Q10" s="91">
        <v>146</v>
      </c>
      <c r="R10" s="91">
        <v>189</v>
      </c>
      <c r="S10" s="92">
        <v>7149883</v>
      </c>
      <c r="T10" s="85">
        <f t="shared" ref="T10:T22" si="14">SUM(U10:V10)</f>
        <v>7429531</v>
      </c>
      <c r="U10" s="156">
        <v>5697467</v>
      </c>
      <c r="V10" s="92">
        <v>1732064</v>
      </c>
      <c r="W10" s="185">
        <f t="shared" si="9"/>
        <v>0.23313234711585429</v>
      </c>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row>
    <row r="11" spans="1:220" s="71" customFormat="1">
      <c r="A11" s="90">
        <v>2013</v>
      </c>
      <c r="B11" s="361">
        <v>32</v>
      </c>
      <c r="C11" s="361">
        <v>2.4</v>
      </c>
      <c r="D11" s="108">
        <f t="shared" si="10"/>
        <v>34.4</v>
      </c>
      <c r="E11" s="109">
        <f t="shared" si="11"/>
        <v>23</v>
      </c>
      <c r="F11" s="109">
        <f t="shared" si="12"/>
        <v>22</v>
      </c>
      <c r="G11" s="113"/>
      <c r="H11" s="113"/>
      <c r="I11" s="361">
        <v>7</v>
      </c>
      <c r="J11" s="361">
        <v>328</v>
      </c>
      <c r="K11" s="108">
        <f>I11+J11</f>
        <v>335</v>
      </c>
      <c r="L11" s="361">
        <v>159.30000000000001</v>
      </c>
      <c r="M11" s="109">
        <f>I11+L11</f>
        <v>166.3</v>
      </c>
      <c r="N11" s="361">
        <v>59</v>
      </c>
      <c r="O11" s="361">
        <v>739.6</v>
      </c>
      <c r="P11" s="337">
        <f t="shared" si="13"/>
        <v>0.22485127095727422</v>
      </c>
      <c r="Q11" s="361">
        <v>165</v>
      </c>
      <c r="R11" s="361">
        <v>136</v>
      </c>
      <c r="S11" s="112">
        <v>7082891</v>
      </c>
      <c r="T11" s="110">
        <f t="shared" si="14"/>
        <v>8037859</v>
      </c>
      <c r="U11" s="157">
        <v>4474342</v>
      </c>
      <c r="V11" s="112">
        <v>3563517</v>
      </c>
      <c r="W11" s="185">
        <f t="shared" si="9"/>
        <v>0.44334156645445011</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row>
    <row r="12" spans="1:220" s="71" customFormat="1">
      <c r="A12" s="90">
        <v>2012</v>
      </c>
      <c r="B12" s="361">
        <v>34</v>
      </c>
      <c r="C12" s="361">
        <v>2.75</v>
      </c>
      <c r="D12" s="108">
        <f t="shared" si="10"/>
        <v>36.75</v>
      </c>
      <c r="E12" s="109">
        <f t="shared" si="11"/>
        <v>12</v>
      </c>
      <c r="F12" s="109">
        <f t="shared" si="12"/>
        <v>11</v>
      </c>
      <c r="G12" s="113"/>
      <c r="H12" s="113"/>
      <c r="I12" s="361">
        <v>34</v>
      </c>
      <c r="J12" s="361">
        <v>360</v>
      </c>
      <c r="K12" s="108">
        <f>I12+J12</f>
        <v>394</v>
      </c>
      <c r="L12" s="361">
        <v>181.5</v>
      </c>
      <c r="M12" s="109">
        <f>I12+L12</f>
        <v>215.5</v>
      </c>
      <c r="N12" s="361">
        <v>63</v>
      </c>
      <c r="O12" s="361">
        <v>420.40999999999997</v>
      </c>
      <c r="P12" s="337">
        <f t="shared" si="13"/>
        <v>0.51259484788658694</v>
      </c>
      <c r="Q12" s="361">
        <v>231</v>
      </c>
      <c r="R12" s="361">
        <v>130</v>
      </c>
      <c r="S12" s="112">
        <v>8203931</v>
      </c>
      <c r="T12" s="110">
        <f t="shared" si="14"/>
        <v>8230236</v>
      </c>
      <c r="U12" s="157">
        <v>5847921</v>
      </c>
      <c r="V12" s="112">
        <v>2382315</v>
      </c>
      <c r="W12" s="185">
        <f t="shared" si="9"/>
        <v>0.28945889279481174</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row>
    <row r="13" spans="1:220" s="71" customFormat="1">
      <c r="A13" s="90" t="s">
        <v>81</v>
      </c>
      <c r="B13" s="361">
        <v>31</v>
      </c>
      <c r="C13" s="361">
        <v>3.25</v>
      </c>
      <c r="D13" s="108">
        <f t="shared" si="10"/>
        <v>34.25</v>
      </c>
      <c r="E13" s="109">
        <f t="shared" si="11"/>
        <v>20</v>
      </c>
      <c r="F13" s="109">
        <f t="shared" si="12"/>
        <v>18</v>
      </c>
      <c r="G13" s="113"/>
      <c r="H13" s="113"/>
      <c r="I13" s="361">
        <v>15</v>
      </c>
      <c r="J13" s="361">
        <v>482</v>
      </c>
      <c r="K13" s="108">
        <v>482</v>
      </c>
      <c r="L13" s="361">
        <v>235</v>
      </c>
      <c r="M13" s="109">
        <f t="shared" ref="M13:M22" si="15">(I13+L13)</f>
        <v>250</v>
      </c>
      <c r="N13" s="361">
        <v>114</v>
      </c>
      <c r="O13" s="361">
        <v>625</v>
      </c>
      <c r="P13" s="337">
        <f t="shared" si="13"/>
        <v>0.4</v>
      </c>
      <c r="Q13" s="361">
        <v>229</v>
      </c>
      <c r="R13" s="361">
        <v>118</v>
      </c>
      <c r="S13" s="112">
        <v>7881518</v>
      </c>
      <c r="T13" s="110">
        <f t="shared" si="14"/>
        <v>8110201</v>
      </c>
      <c r="U13" s="157">
        <v>5900455</v>
      </c>
      <c r="V13" s="112">
        <v>2209746</v>
      </c>
      <c r="W13" s="185">
        <f t="shared" si="9"/>
        <v>0.27246501042329285</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row>
    <row r="14" spans="1:220" s="71" customFormat="1">
      <c r="A14" s="90" t="s">
        <v>82</v>
      </c>
      <c r="B14" s="361">
        <v>32</v>
      </c>
      <c r="C14" s="361">
        <v>2</v>
      </c>
      <c r="D14" s="108">
        <f t="shared" si="10"/>
        <v>34</v>
      </c>
      <c r="E14" s="109">
        <f t="shared" si="11"/>
        <v>19</v>
      </c>
      <c r="F14" s="109">
        <f t="shared" si="12"/>
        <v>18</v>
      </c>
      <c r="G14" s="113"/>
      <c r="H14" s="113"/>
      <c r="I14" s="361">
        <v>44</v>
      </c>
      <c r="J14" s="361">
        <v>525</v>
      </c>
      <c r="K14" s="108">
        <f t="shared" ref="K14:K22" si="16">SUM(I14:J14)</f>
        <v>569</v>
      </c>
      <c r="L14" s="361">
        <v>260</v>
      </c>
      <c r="M14" s="109">
        <f t="shared" si="15"/>
        <v>304</v>
      </c>
      <c r="N14" s="361">
        <v>121</v>
      </c>
      <c r="O14" s="361">
        <v>606.99</v>
      </c>
      <c r="P14" s="337">
        <f t="shared" si="13"/>
        <v>0.50083197416761394</v>
      </c>
      <c r="Q14" s="361">
        <v>254</v>
      </c>
      <c r="R14" s="361">
        <v>110</v>
      </c>
      <c r="S14" s="112">
        <v>7710614.3199999984</v>
      </c>
      <c r="T14" s="110">
        <f t="shared" si="14"/>
        <v>8332771</v>
      </c>
      <c r="U14" s="112">
        <v>6088830</v>
      </c>
      <c r="V14" s="112">
        <v>2243941</v>
      </c>
      <c r="W14" s="185">
        <f t="shared" si="9"/>
        <v>0.26929109176287214</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row>
    <row r="15" spans="1:220" s="71" customFormat="1">
      <c r="A15" s="90" t="s">
        <v>83</v>
      </c>
      <c r="B15" s="361">
        <v>32</v>
      </c>
      <c r="C15" s="361">
        <v>3.25</v>
      </c>
      <c r="D15" s="108">
        <f t="shared" si="10"/>
        <v>35.25</v>
      </c>
      <c r="E15" s="109">
        <f t="shared" si="11"/>
        <v>21</v>
      </c>
      <c r="F15" s="109">
        <f t="shared" si="12"/>
        <v>19</v>
      </c>
      <c r="G15" s="113"/>
      <c r="H15" s="113"/>
      <c r="I15" s="361">
        <v>17</v>
      </c>
      <c r="J15" s="361">
        <v>608</v>
      </c>
      <c r="K15" s="108">
        <f t="shared" si="16"/>
        <v>625</v>
      </c>
      <c r="L15" s="361">
        <v>297.58</v>
      </c>
      <c r="M15" s="109">
        <f t="shared" si="15"/>
        <v>314.58</v>
      </c>
      <c r="N15" s="361">
        <v>124</v>
      </c>
      <c r="O15" s="361">
        <v>670.85</v>
      </c>
      <c r="P15" s="337">
        <f t="shared" si="13"/>
        <v>0.46892748006260709</v>
      </c>
      <c r="Q15" s="361">
        <v>295</v>
      </c>
      <c r="R15" s="361">
        <v>139</v>
      </c>
      <c r="S15" s="112">
        <v>7353179.7299999995</v>
      </c>
      <c r="T15" s="110">
        <f t="shared" si="14"/>
        <v>7787637</v>
      </c>
      <c r="U15" s="112">
        <v>5834201</v>
      </c>
      <c r="V15" s="112">
        <v>1953436</v>
      </c>
      <c r="W15" s="185">
        <f t="shared" si="9"/>
        <v>0.25083809119505701</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row>
    <row r="16" spans="1:220" s="71" customFormat="1">
      <c r="A16" s="90" t="s">
        <v>84</v>
      </c>
      <c r="B16" s="361">
        <v>33</v>
      </c>
      <c r="C16" s="361">
        <v>3.5</v>
      </c>
      <c r="D16" s="108">
        <f t="shared" si="10"/>
        <v>36.5</v>
      </c>
      <c r="E16" s="109">
        <f t="shared" si="11"/>
        <v>21</v>
      </c>
      <c r="F16" s="109">
        <f t="shared" si="12"/>
        <v>19</v>
      </c>
      <c r="G16" s="113"/>
      <c r="H16" s="113"/>
      <c r="I16" s="361">
        <v>14</v>
      </c>
      <c r="J16" s="361">
        <v>607</v>
      </c>
      <c r="K16" s="108">
        <f t="shared" si="16"/>
        <v>621</v>
      </c>
      <c r="L16" s="361">
        <v>290.39999999999998</v>
      </c>
      <c r="M16" s="109">
        <f t="shared" si="15"/>
        <v>304.39999999999998</v>
      </c>
      <c r="N16" s="361">
        <v>109</v>
      </c>
      <c r="O16" s="361">
        <v>678.1</v>
      </c>
      <c r="P16" s="337">
        <f t="shared" si="13"/>
        <v>0.4489013419849579</v>
      </c>
      <c r="Q16" s="361">
        <v>255</v>
      </c>
      <c r="R16" s="361">
        <v>108</v>
      </c>
      <c r="S16" s="112">
        <v>7599291.5999999996</v>
      </c>
      <c r="T16" s="110">
        <f t="shared" si="14"/>
        <v>7816349</v>
      </c>
      <c r="U16" s="112">
        <v>5568717</v>
      </c>
      <c r="V16" s="112">
        <v>2247632</v>
      </c>
      <c r="W16" s="185">
        <f t="shared" si="9"/>
        <v>0.28755522559189717</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row>
    <row r="17" spans="1:65" s="71" customFormat="1">
      <c r="A17" s="90">
        <v>2007</v>
      </c>
      <c r="B17" s="361">
        <v>34</v>
      </c>
      <c r="C17" s="361">
        <v>1.75</v>
      </c>
      <c r="D17" s="194">
        <f t="shared" si="10"/>
        <v>35.75</v>
      </c>
      <c r="E17" s="109">
        <f t="shared" si="11"/>
        <v>20</v>
      </c>
      <c r="F17" s="109">
        <f t="shared" si="12"/>
        <v>19</v>
      </c>
      <c r="G17" s="113"/>
      <c r="H17" s="113"/>
      <c r="I17" s="361">
        <v>18</v>
      </c>
      <c r="J17" s="361">
        <v>684</v>
      </c>
      <c r="K17" s="194">
        <f t="shared" si="16"/>
        <v>702</v>
      </c>
      <c r="L17" s="361">
        <v>325.7</v>
      </c>
      <c r="M17" s="109">
        <f t="shared" si="15"/>
        <v>343.7</v>
      </c>
      <c r="N17" s="361">
        <v>146</v>
      </c>
      <c r="O17" s="361">
        <v>688</v>
      </c>
      <c r="P17" s="338">
        <f t="shared" si="13"/>
        <v>0.49956395348837207</v>
      </c>
      <c r="Q17" s="361">
        <v>250</v>
      </c>
      <c r="R17" s="361">
        <v>122</v>
      </c>
      <c r="S17" s="192">
        <v>6318546</v>
      </c>
      <c r="T17" s="110">
        <f t="shared" si="14"/>
        <v>7184093</v>
      </c>
      <c r="U17" s="192">
        <v>5265826</v>
      </c>
      <c r="V17" s="192">
        <v>1918267</v>
      </c>
      <c r="W17" s="185">
        <f t="shared" si="9"/>
        <v>0.26701589191565311</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row>
    <row r="18" spans="1:65" s="71" customFormat="1">
      <c r="A18" s="90">
        <v>2006</v>
      </c>
      <c r="B18" s="361">
        <v>34</v>
      </c>
      <c r="C18" s="361">
        <v>7</v>
      </c>
      <c r="D18" s="194">
        <f t="shared" si="10"/>
        <v>41</v>
      </c>
      <c r="E18" s="109">
        <f t="shared" si="11"/>
        <v>21</v>
      </c>
      <c r="F18" s="109">
        <f t="shared" si="12"/>
        <v>17</v>
      </c>
      <c r="G18" s="113"/>
      <c r="H18" s="113"/>
      <c r="I18" s="361">
        <v>40</v>
      </c>
      <c r="J18" s="361">
        <v>675</v>
      </c>
      <c r="K18" s="194">
        <f t="shared" si="16"/>
        <v>715</v>
      </c>
      <c r="L18" s="361">
        <v>331</v>
      </c>
      <c r="M18" s="109">
        <f t="shared" si="15"/>
        <v>371</v>
      </c>
      <c r="N18" s="361">
        <v>138</v>
      </c>
      <c r="O18" s="361">
        <v>700</v>
      </c>
      <c r="P18" s="338">
        <f t="shared" si="13"/>
        <v>0.53</v>
      </c>
      <c r="Q18" s="361">
        <v>173</v>
      </c>
      <c r="R18" s="361">
        <v>8</v>
      </c>
      <c r="S18" s="192">
        <v>5304749</v>
      </c>
      <c r="T18" s="110">
        <f t="shared" si="14"/>
        <v>7144953.1800000006</v>
      </c>
      <c r="U18" s="192">
        <v>5414008.9800000004</v>
      </c>
      <c r="V18" s="192">
        <v>1730944.2</v>
      </c>
      <c r="W18" s="185">
        <f t="shared" si="9"/>
        <v>0.24226109764374967</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row>
    <row r="19" spans="1:65" s="71" customFormat="1">
      <c r="A19" s="90">
        <v>2005</v>
      </c>
      <c r="B19" s="361">
        <v>32</v>
      </c>
      <c r="C19" s="361">
        <v>5</v>
      </c>
      <c r="D19" s="194">
        <f t="shared" si="10"/>
        <v>37</v>
      </c>
      <c r="E19" s="109">
        <f t="shared" si="11"/>
        <v>19</v>
      </c>
      <c r="F19" s="109">
        <f t="shared" si="12"/>
        <v>17</v>
      </c>
      <c r="G19" s="113"/>
      <c r="H19" s="113"/>
      <c r="I19" s="361">
        <v>38</v>
      </c>
      <c r="J19" s="361">
        <v>616</v>
      </c>
      <c r="K19" s="194">
        <f t="shared" si="16"/>
        <v>654</v>
      </c>
      <c r="L19" s="361">
        <v>297</v>
      </c>
      <c r="M19" s="109">
        <f t="shared" si="15"/>
        <v>335</v>
      </c>
      <c r="N19" s="361">
        <v>120</v>
      </c>
      <c r="O19" s="361">
        <v>620</v>
      </c>
      <c r="P19" s="338">
        <f t="shared" si="13"/>
        <v>0.54032258064516125</v>
      </c>
      <c r="Q19" s="361">
        <v>153</v>
      </c>
      <c r="R19" s="361">
        <v>229</v>
      </c>
      <c r="S19" s="192">
        <v>4533613.3600000003</v>
      </c>
      <c r="T19" s="110">
        <f t="shared" si="14"/>
        <v>5613923.71</v>
      </c>
      <c r="U19" s="192">
        <v>4310396.07</v>
      </c>
      <c r="V19" s="192">
        <v>1303527.6399999999</v>
      </c>
      <c r="W19" s="185">
        <f t="shared" si="9"/>
        <v>0.23219546743715902</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row>
    <row r="20" spans="1:65" s="71" customFormat="1">
      <c r="A20" s="90">
        <v>2004</v>
      </c>
      <c r="B20" s="195">
        <v>32</v>
      </c>
      <c r="C20" s="195">
        <v>4</v>
      </c>
      <c r="D20" s="194">
        <f t="shared" si="10"/>
        <v>36</v>
      </c>
      <c r="E20" s="109">
        <f t="shared" si="11"/>
        <v>27</v>
      </c>
      <c r="F20" s="109">
        <f t="shared" si="12"/>
        <v>24</v>
      </c>
      <c r="G20" s="113"/>
      <c r="H20" s="113"/>
      <c r="I20" s="195">
        <v>147</v>
      </c>
      <c r="J20" s="195">
        <v>443</v>
      </c>
      <c r="K20" s="194">
        <f t="shared" si="16"/>
        <v>590</v>
      </c>
      <c r="L20" s="195">
        <v>240</v>
      </c>
      <c r="M20" s="109">
        <f t="shared" si="15"/>
        <v>387</v>
      </c>
      <c r="N20" s="195">
        <v>113</v>
      </c>
      <c r="O20" s="195">
        <v>879</v>
      </c>
      <c r="P20" s="338">
        <f t="shared" si="13"/>
        <v>0.44027303754266212</v>
      </c>
      <c r="Q20" s="195">
        <v>144</v>
      </c>
      <c r="R20" s="361">
        <v>220</v>
      </c>
      <c r="S20" s="192">
        <v>4794448</v>
      </c>
      <c r="T20" s="110">
        <f t="shared" si="14"/>
        <v>4742137.6500000004</v>
      </c>
      <c r="U20" s="192">
        <v>3718961.46</v>
      </c>
      <c r="V20" s="192">
        <v>1023176.19</v>
      </c>
      <c r="W20" s="185">
        <f t="shared" si="9"/>
        <v>0.21576265083743401</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row>
    <row r="21" spans="1:65" s="71" customFormat="1">
      <c r="A21" s="90">
        <v>2003</v>
      </c>
      <c r="B21" s="195">
        <v>34</v>
      </c>
      <c r="C21" s="195">
        <f>ROUND(4.5, 0)</f>
        <v>5</v>
      </c>
      <c r="D21" s="194">
        <f t="shared" si="10"/>
        <v>39</v>
      </c>
      <c r="E21" s="109">
        <f t="shared" si="11"/>
        <v>28</v>
      </c>
      <c r="F21" s="109">
        <f t="shared" si="12"/>
        <v>24</v>
      </c>
      <c r="G21" s="113"/>
      <c r="H21" s="113"/>
      <c r="I21" s="195">
        <v>146</v>
      </c>
      <c r="J21" s="195">
        <v>328</v>
      </c>
      <c r="K21" s="194">
        <f t="shared" si="16"/>
        <v>474</v>
      </c>
      <c r="L21" s="195">
        <f>ROUND(173.77, 0)</f>
        <v>174</v>
      </c>
      <c r="M21" s="109">
        <f t="shared" si="15"/>
        <v>320</v>
      </c>
      <c r="N21" s="195">
        <v>99</v>
      </c>
      <c r="O21" s="195">
        <v>939</v>
      </c>
      <c r="P21" s="338">
        <f t="shared" si="13"/>
        <v>0.34078807241746539</v>
      </c>
      <c r="Q21" s="195">
        <v>122</v>
      </c>
      <c r="R21" s="361">
        <v>179</v>
      </c>
      <c r="S21" s="192">
        <v>4400696</v>
      </c>
      <c r="T21" s="110">
        <f t="shared" si="14"/>
        <v>4532269</v>
      </c>
      <c r="U21" s="192">
        <v>3934955</v>
      </c>
      <c r="V21" s="192">
        <v>597314</v>
      </c>
      <c r="W21" s="185">
        <f t="shared" si="9"/>
        <v>0.13179138307986574</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row>
    <row r="22" spans="1:65" s="71" customFormat="1">
      <c r="A22" s="90">
        <v>2002</v>
      </c>
      <c r="B22" s="195">
        <v>33</v>
      </c>
      <c r="C22" s="195">
        <f>ROUND(2.55, 0)</f>
        <v>3</v>
      </c>
      <c r="D22" s="194">
        <f t="shared" si="10"/>
        <v>36</v>
      </c>
      <c r="E22" s="109">
        <f t="shared" si="11"/>
        <v>27</v>
      </c>
      <c r="F22" s="109">
        <f t="shared" si="12"/>
        <v>25</v>
      </c>
      <c r="G22" s="113"/>
      <c r="H22" s="113"/>
      <c r="I22" s="195">
        <v>146</v>
      </c>
      <c r="J22" s="195">
        <v>360</v>
      </c>
      <c r="K22" s="194">
        <f t="shared" si="16"/>
        <v>506</v>
      </c>
      <c r="L22" s="195">
        <f>ROUND(191.89, 0)</f>
        <v>192</v>
      </c>
      <c r="M22" s="109">
        <f t="shared" si="15"/>
        <v>338</v>
      </c>
      <c r="N22" s="195">
        <v>88</v>
      </c>
      <c r="O22" s="195">
        <f>ROUND(886.73, 0)</f>
        <v>887</v>
      </c>
      <c r="P22" s="338">
        <f t="shared" si="13"/>
        <v>0.38105975197294251</v>
      </c>
      <c r="Q22" s="195">
        <v>163</v>
      </c>
      <c r="R22" s="361">
        <v>257</v>
      </c>
      <c r="S22" s="192">
        <v>4123896.52</v>
      </c>
      <c r="T22" s="110">
        <f t="shared" si="14"/>
        <v>4368482</v>
      </c>
      <c r="U22" s="192">
        <v>3649980</v>
      </c>
      <c r="V22" s="192">
        <v>718502</v>
      </c>
      <c r="W22" s="185">
        <f t="shared" si="9"/>
        <v>0.1644740667353099</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row>
    <row r="23" spans="1:65" s="66" customFormat="1" ht="31.9" customHeight="1">
      <c r="A23" s="680" t="s">
        <v>107</v>
      </c>
      <c r="B23" s="681"/>
      <c r="C23" s="681"/>
      <c r="D23" s="681"/>
      <c r="E23" s="681"/>
      <c r="F23" s="681"/>
      <c r="G23" s="681"/>
      <c r="H23" s="681"/>
      <c r="I23" s="681"/>
      <c r="J23" s="681"/>
      <c r="K23" s="681"/>
      <c r="L23" s="681"/>
      <c r="M23" s="681"/>
      <c r="N23" s="681"/>
      <c r="O23" s="681"/>
      <c r="P23" s="681"/>
      <c r="Q23" s="681"/>
      <c r="R23" s="681"/>
      <c r="S23" s="681"/>
      <c r="T23" s="656"/>
      <c r="U23" s="656"/>
      <c r="V23" s="656"/>
      <c r="W23" s="656"/>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390"/>
      <c r="AZ23" s="390"/>
      <c r="BA23" s="390"/>
      <c r="BB23" s="390"/>
      <c r="BC23" s="390"/>
      <c r="BD23" s="390"/>
      <c r="BE23" s="390"/>
      <c r="BF23" s="390"/>
      <c r="BG23" s="390"/>
      <c r="BH23" s="390"/>
      <c r="BI23" s="390"/>
      <c r="BJ23" s="390"/>
      <c r="BK23" s="390"/>
      <c r="BL23" s="390"/>
      <c r="BM23" s="390"/>
    </row>
    <row r="24" spans="1:65" s="14" customFormat="1">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row>
    <row r="25" spans="1:65" s="14" customFormat="1">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row>
    <row r="26" spans="1:65" s="14" customFormat="1">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row>
    <row r="27" spans="1:65"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row>
    <row r="28" spans="1:65"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row>
    <row r="29" spans="1:65"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row>
    <row r="30" spans="1:65"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row>
    <row r="31" spans="1:65"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row>
    <row r="32" spans="1:65"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row>
    <row r="33" spans="24:65"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row>
    <row r="34" spans="24:65" s="14" customFormat="1">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row>
  </sheetData>
  <mergeCells count="1">
    <mergeCell ref="A23:W23"/>
  </mergeCells>
  <printOptions headings="1" gridLines="1"/>
  <pageMargins left="0.5" right="0.5" top="0.5" bottom="0.5" header="0" footer="0"/>
  <pageSetup paperSize="5" scale="66" orientation="landscape" r:id="rId1"/>
  <legacy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L34"/>
  <sheetViews>
    <sheetView zoomScaleNormal="100" workbookViewId="0">
      <selection activeCell="C29" sqref="C29"/>
    </sheetView>
  </sheetViews>
  <sheetFormatPr defaultColWidth="8.85546875" defaultRowHeight="15"/>
  <cols>
    <col min="1" max="1" width="9.7109375" customWidth="1"/>
    <col min="2" max="2" width="10.140625" bestFit="1" customWidth="1"/>
    <col min="3" max="3" width="8.42578125" bestFit="1" customWidth="1"/>
    <col min="4" max="4" width="9.28515625" bestFit="1" customWidth="1"/>
    <col min="5" max="5" width="11.42578125"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3" customWidth="1"/>
    <col min="22" max="22" width="10.85546875" bestFit="1" customWidth="1"/>
    <col min="23" max="23" width="12.85546875" bestFit="1" customWidth="1"/>
  </cols>
  <sheetData>
    <row r="1" spans="1:220" s="8" customFormat="1" ht="18.75">
      <c r="A1" s="1" t="s">
        <v>6</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6">
        <v>2021</v>
      </c>
      <c r="B3" s="447">
        <v>6</v>
      </c>
      <c r="C3" s="447">
        <v>2</v>
      </c>
      <c r="D3" s="448">
        <f>SUM(B3:C3)</f>
        <v>8</v>
      </c>
      <c r="E3" s="448">
        <f>ROUND((O3/B3),0)</f>
        <v>7</v>
      </c>
      <c r="F3" s="448">
        <f>ROUND((O3/D3), 0)</f>
        <v>5</v>
      </c>
      <c r="G3" s="447">
        <v>6</v>
      </c>
      <c r="H3" s="447">
        <v>2</v>
      </c>
      <c r="I3" s="447">
        <v>26</v>
      </c>
      <c r="J3" s="447">
        <v>21</v>
      </c>
      <c r="K3" s="448">
        <f>SUM(I3:J3)</f>
        <v>47</v>
      </c>
      <c r="L3" s="447">
        <v>13</v>
      </c>
      <c r="M3" s="448">
        <f>(I3+L3)</f>
        <v>39</v>
      </c>
      <c r="N3" s="447">
        <v>32</v>
      </c>
      <c r="O3" s="447">
        <v>39</v>
      </c>
      <c r="P3" s="649">
        <f>M3/O3</f>
        <v>1</v>
      </c>
      <c r="Q3" s="447">
        <v>15</v>
      </c>
      <c r="R3" s="447">
        <v>0</v>
      </c>
      <c r="S3" s="451">
        <v>946191</v>
      </c>
      <c r="T3" s="478">
        <v>946191</v>
      </c>
      <c r="U3" s="451">
        <v>946191</v>
      </c>
      <c r="V3" s="451">
        <v>0</v>
      </c>
      <c r="W3" s="452">
        <f>V3/T3</f>
        <v>0</v>
      </c>
    </row>
    <row r="4" spans="1:220">
      <c r="A4" s="6">
        <v>2020</v>
      </c>
      <c r="B4" s="447">
        <v>6</v>
      </c>
      <c r="C4" s="447">
        <v>2</v>
      </c>
      <c r="D4" s="448">
        <v>8</v>
      </c>
      <c r="E4" s="448">
        <v>8</v>
      </c>
      <c r="F4" s="448">
        <v>6</v>
      </c>
      <c r="G4" s="447">
        <v>6</v>
      </c>
      <c r="H4" s="447">
        <v>2</v>
      </c>
      <c r="I4" s="447">
        <v>26</v>
      </c>
      <c r="J4" s="447">
        <v>26</v>
      </c>
      <c r="K4" s="448">
        <v>52</v>
      </c>
      <c r="L4" s="447">
        <v>17.399999999999999</v>
      </c>
      <c r="M4" s="448">
        <v>43.4</v>
      </c>
      <c r="N4" s="447">
        <v>63</v>
      </c>
      <c r="O4" s="447">
        <v>52</v>
      </c>
      <c r="P4" s="649">
        <f>M4/O4</f>
        <v>0.83461538461538454</v>
      </c>
      <c r="Q4" s="447">
        <v>17</v>
      </c>
      <c r="R4" s="447">
        <v>0</v>
      </c>
      <c r="S4" s="451">
        <v>949133</v>
      </c>
      <c r="T4" s="478">
        <v>949133</v>
      </c>
      <c r="U4" s="451">
        <v>949133</v>
      </c>
      <c r="V4" s="451">
        <v>0</v>
      </c>
      <c r="W4" s="452">
        <f>V4/T4</f>
        <v>0</v>
      </c>
    </row>
    <row r="5" spans="1:220">
      <c r="A5" s="6">
        <v>2019</v>
      </c>
      <c r="B5" s="447">
        <v>6</v>
      </c>
      <c r="C5" s="447">
        <v>2</v>
      </c>
      <c r="D5" s="448">
        <v>8</v>
      </c>
      <c r="E5" s="448">
        <v>8</v>
      </c>
      <c r="F5" s="448">
        <v>6</v>
      </c>
      <c r="G5" s="447">
        <v>6</v>
      </c>
      <c r="H5" s="447">
        <v>2</v>
      </c>
      <c r="I5" s="447">
        <v>17</v>
      </c>
      <c r="J5" s="447">
        <v>31</v>
      </c>
      <c r="K5" s="448">
        <v>48</v>
      </c>
      <c r="L5" s="447">
        <v>11.16</v>
      </c>
      <c r="M5" s="590">
        <f>(I6+L6)</f>
        <v>41.5</v>
      </c>
      <c r="N5" s="447">
        <v>39</v>
      </c>
      <c r="O5" s="449">
        <v>48</v>
      </c>
      <c r="P5" s="591">
        <f>M5/O5</f>
        <v>0.86458333333333337</v>
      </c>
      <c r="Q5" s="447">
        <v>14</v>
      </c>
      <c r="R5" s="447">
        <v>0</v>
      </c>
      <c r="S5" s="451">
        <v>850229</v>
      </c>
      <c r="T5" s="478">
        <v>850229</v>
      </c>
      <c r="U5" s="451">
        <v>850229</v>
      </c>
      <c r="V5" s="451">
        <v>0</v>
      </c>
      <c r="W5" s="452">
        <f>V5/T5</f>
        <v>0</v>
      </c>
    </row>
    <row r="6" spans="1:220" s="17" customFormat="1">
      <c r="A6" s="33">
        <v>2018</v>
      </c>
      <c r="B6" s="20">
        <v>5</v>
      </c>
      <c r="C6" s="20">
        <v>2.5</v>
      </c>
      <c r="D6" s="29">
        <f>SUM(B6:C6)</f>
        <v>7.5</v>
      </c>
      <c r="E6" s="172">
        <f>ROUND((O6/B6), 0)</f>
        <v>10</v>
      </c>
      <c r="F6" s="172">
        <f>ROUND((O6/D6), 0)</f>
        <v>7</v>
      </c>
      <c r="G6" s="20">
        <v>5</v>
      </c>
      <c r="H6" s="20">
        <v>2.5</v>
      </c>
      <c r="I6" s="20">
        <v>27</v>
      </c>
      <c r="J6" s="20">
        <v>25</v>
      </c>
      <c r="K6" s="29">
        <f t="shared" ref="K6" si="0">SUM(I6:J6)</f>
        <v>52</v>
      </c>
      <c r="L6" s="20">
        <v>14.5</v>
      </c>
      <c r="M6" s="172">
        <f>(I6+L6)</f>
        <v>41.5</v>
      </c>
      <c r="N6" s="20">
        <v>36</v>
      </c>
      <c r="O6" s="20">
        <v>52</v>
      </c>
      <c r="P6" s="183">
        <f>M6/O6</f>
        <v>0.79807692307692313</v>
      </c>
      <c r="Q6" s="20">
        <v>23</v>
      </c>
      <c r="R6" s="20">
        <v>0</v>
      </c>
      <c r="S6" s="24">
        <v>818964</v>
      </c>
      <c r="T6" s="30">
        <f>SUM(U6:V6)</f>
        <v>818964</v>
      </c>
      <c r="U6" s="24">
        <v>818964</v>
      </c>
      <c r="V6" s="24">
        <v>0</v>
      </c>
      <c r="W6" s="185">
        <f>V6/T6</f>
        <v>0</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5</v>
      </c>
      <c r="C7" s="20">
        <v>2.5</v>
      </c>
      <c r="D7" s="34">
        <f>SUM(B7:C7)</f>
        <v>7.5</v>
      </c>
      <c r="E7" s="34">
        <f>ROUND((O7/B7), 0)</f>
        <v>12</v>
      </c>
      <c r="F7" s="34">
        <f>ROUND((O7/D7), 0)</f>
        <v>8</v>
      </c>
      <c r="G7" s="20">
        <v>5</v>
      </c>
      <c r="H7" s="20">
        <v>2.5</v>
      </c>
      <c r="I7" s="20">
        <v>34</v>
      </c>
      <c r="J7" s="20">
        <v>29</v>
      </c>
      <c r="K7" s="34">
        <f>SUM(I7:J7)</f>
        <v>63</v>
      </c>
      <c r="L7" s="20">
        <v>17</v>
      </c>
      <c r="M7" s="36">
        <f>(I7+L7)</f>
        <v>51</v>
      </c>
      <c r="N7" s="344">
        <v>48</v>
      </c>
      <c r="O7" s="344">
        <v>61</v>
      </c>
      <c r="P7" s="183">
        <f t="shared" ref="P7:P22" si="1">M7/O7</f>
        <v>0.83606557377049184</v>
      </c>
      <c r="Q7" s="20">
        <v>32</v>
      </c>
      <c r="R7" s="20">
        <v>0</v>
      </c>
      <c r="S7" s="300">
        <v>1031357</v>
      </c>
      <c r="T7" s="35">
        <f>SUM(U7:V7)</f>
        <v>1031357</v>
      </c>
      <c r="U7" s="341">
        <v>1031357</v>
      </c>
      <c r="V7" s="24">
        <v>0</v>
      </c>
      <c r="W7" s="185">
        <f t="shared" ref="W7:W19" si="2">V7/T7</f>
        <v>0</v>
      </c>
    </row>
    <row r="8" spans="1:220" s="93" customFormat="1">
      <c r="A8" s="95">
        <v>2016</v>
      </c>
      <c r="B8" s="63">
        <v>6</v>
      </c>
      <c r="C8" s="63">
        <v>3</v>
      </c>
      <c r="D8" s="81">
        <f>B8+C8</f>
        <v>9</v>
      </c>
      <c r="E8" s="82">
        <f>ROUND((O8/B8), 0)</f>
        <v>14</v>
      </c>
      <c r="F8" s="82">
        <f>ROUND((O8/D8), 0)</f>
        <v>9</v>
      </c>
      <c r="G8" s="63">
        <v>6</v>
      </c>
      <c r="H8" s="63">
        <v>3</v>
      </c>
      <c r="I8" s="63">
        <v>69</v>
      </c>
      <c r="J8" s="63">
        <v>24</v>
      </c>
      <c r="K8" s="81">
        <f>I8+J8</f>
        <v>93</v>
      </c>
      <c r="L8" s="63">
        <v>16</v>
      </c>
      <c r="M8" s="82">
        <f>I8+L8</f>
        <v>85</v>
      </c>
      <c r="N8" s="63">
        <v>49</v>
      </c>
      <c r="O8" s="63">
        <v>85</v>
      </c>
      <c r="P8" s="183">
        <f t="shared" si="1"/>
        <v>1</v>
      </c>
      <c r="Q8" s="63">
        <v>21</v>
      </c>
      <c r="R8" s="63">
        <v>0</v>
      </c>
      <c r="S8" s="64">
        <v>1107225</v>
      </c>
      <c r="T8" s="85">
        <f>SUM(U8:V8)</f>
        <v>1137184</v>
      </c>
      <c r="U8" s="220">
        <v>1137184</v>
      </c>
      <c r="V8" s="64">
        <v>0</v>
      </c>
      <c r="W8" s="185">
        <f t="shared" si="2"/>
        <v>0</v>
      </c>
    </row>
    <row r="9" spans="1:220" s="79" customFormat="1">
      <c r="A9" s="90">
        <v>2015</v>
      </c>
      <c r="B9" s="91">
        <v>7</v>
      </c>
      <c r="C9" s="91">
        <v>1.65</v>
      </c>
      <c r="D9" s="81">
        <v>8.65</v>
      </c>
      <c r="E9" s="81">
        <v>14</v>
      </c>
      <c r="F9" s="81">
        <v>11.3</v>
      </c>
      <c r="G9" s="111"/>
      <c r="H9" s="111"/>
      <c r="I9" s="91">
        <v>78</v>
      </c>
      <c r="J9" s="91">
        <v>32</v>
      </c>
      <c r="K9" s="81">
        <v>110</v>
      </c>
      <c r="L9" s="91">
        <v>20</v>
      </c>
      <c r="M9" s="81">
        <v>98</v>
      </c>
      <c r="N9" s="91">
        <v>63</v>
      </c>
      <c r="O9" s="91">
        <v>98</v>
      </c>
      <c r="P9" s="183">
        <f t="shared" si="1"/>
        <v>1</v>
      </c>
      <c r="Q9" s="91">
        <v>20</v>
      </c>
      <c r="R9" s="91">
        <v>0</v>
      </c>
      <c r="S9" s="102">
        <v>1091508</v>
      </c>
      <c r="T9" s="103">
        <v>1078290</v>
      </c>
      <c r="U9" s="102">
        <v>1078290</v>
      </c>
      <c r="V9" s="102">
        <v>0</v>
      </c>
      <c r="W9" s="185">
        <f t="shared" si="2"/>
        <v>0</v>
      </c>
    </row>
    <row r="10" spans="1:220" s="71" customFormat="1">
      <c r="A10" s="90">
        <v>2014</v>
      </c>
      <c r="B10" s="91">
        <v>6</v>
      </c>
      <c r="C10" s="91">
        <v>2.5</v>
      </c>
      <c r="D10" s="81">
        <f>B10+C10</f>
        <v>8.5</v>
      </c>
      <c r="E10" s="82">
        <f t="shared" ref="E10:E22" si="3">ROUND((O10/B10), 0)</f>
        <v>9</v>
      </c>
      <c r="F10" s="82">
        <f t="shared" ref="F10:F22" si="4">ROUND((O10/D10), 0)</f>
        <v>6</v>
      </c>
      <c r="G10" s="111"/>
      <c r="H10" s="111"/>
      <c r="I10" s="91">
        <v>33</v>
      </c>
      <c r="J10" s="91">
        <v>41</v>
      </c>
      <c r="K10" s="81">
        <f>I10+J10</f>
        <v>74</v>
      </c>
      <c r="L10" s="91">
        <v>21</v>
      </c>
      <c r="M10" s="82">
        <f>I10+L10</f>
        <v>54</v>
      </c>
      <c r="N10" s="91">
        <v>50</v>
      </c>
      <c r="O10" s="91">
        <v>54</v>
      </c>
      <c r="P10" s="183">
        <f t="shared" si="1"/>
        <v>1</v>
      </c>
      <c r="Q10" s="91">
        <v>24</v>
      </c>
      <c r="R10" s="91">
        <v>0</v>
      </c>
      <c r="S10" s="92">
        <v>1455978</v>
      </c>
      <c r="T10" s="85">
        <f t="shared" ref="T10:T19" si="5">SUM(U10:V10)</f>
        <v>1139854</v>
      </c>
      <c r="U10" s="92">
        <v>1139854</v>
      </c>
      <c r="V10" s="92">
        <v>0</v>
      </c>
      <c r="W10" s="185">
        <f t="shared" si="2"/>
        <v>0</v>
      </c>
    </row>
    <row r="11" spans="1:220" s="71" customFormat="1">
      <c r="A11" s="95">
        <v>2013</v>
      </c>
      <c r="B11" s="353">
        <v>7</v>
      </c>
      <c r="C11" s="353">
        <v>2.2999999999999998</v>
      </c>
      <c r="D11" s="108">
        <f>B11+C11</f>
        <v>9.3000000000000007</v>
      </c>
      <c r="E11" s="109">
        <f t="shared" si="3"/>
        <v>13</v>
      </c>
      <c r="F11" s="109">
        <f t="shared" si="4"/>
        <v>10</v>
      </c>
      <c r="G11" s="113"/>
      <c r="H11" s="113"/>
      <c r="I11" s="353">
        <v>43</v>
      </c>
      <c r="J11" s="353">
        <v>42</v>
      </c>
      <c r="K11" s="108">
        <f>I11+J11</f>
        <v>85</v>
      </c>
      <c r="L11" s="353">
        <v>24.6</v>
      </c>
      <c r="M11" s="109">
        <f>I11+L11</f>
        <v>67.599999999999994</v>
      </c>
      <c r="N11" s="353">
        <v>8</v>
      </c>
      <c r="O11" s="353">
        <v>89.02</v>
      </c>
      <c r="P11" s="183">
        <f t="shared" si="1"/>
        <v>0.75937991462592669</v>
      </c>
      <c r="Q11" s="353">
        <v>28</v>
      </c>
      <c r="R11" s="353">
        <v>0</v>
      </c>
      <c r="S11" s="112">
        <v>1437525</v>
      </c>
      <c r="T11" s="110">
        <f t="shared" si="5"/>
        <v>9919192</v>
      </c>
      <c r="U11" s="112">
        <v>6886764</v>
      </c>
      <c r="V11" s="112">
        <v>3032428</v>
      </c>
      <c r="W11" s="185">
        <f t="shared" si="2"/>
        <v>0.30571320728543211</v>
      </c>
    </row>
    <row r="12" spans="1:220" s="71" customFormat="1">
      <c r="A12" s="90">
        <v>2012</v>
      </c>
      <c r="B12" s="353">
        <v>8</v>
      </c>
      <c r="C12" s="353">
        <v>1</v>
      </c>
      <c r="D12" s="108">
        <f>B12+C12</f>
        <v>9</v>
      </c>
      <c r="E12" s="109">
        <f t="shared" si="3"/>
        <v>11</v>
      </c>
      <c r="F12" s="109">
        <f t="shared" si="4"/>
        <v>10</v>
      </c>
      <c r="G12" s="113"/>
      <c r="H12" s="113"/>
      <c r="I12" s="353">
        <v>65</v>
      </c>
      <c r="J12" s="353">
        <v>32</v>
      </c>
      <c r="K12" s="108">
        <f>I12+J12</f>
        <v>97</v>
      </c>
      <c r="L12" s="353">
        <v>21.5</v>
      </c>
      <c r="M12" s="109">
        <f>I12+L12</f>
        <v>86.5</v>
      </c>
      <c r="N12" s="353">
        <v>45</v>
      </c>
      <c r="O12" s="353">
        <v>91.300000000000011</v>
      </c>
      <c r="P12" s="183">
        <f t="shared" si="1"/>
        <v>0.94742606790799555</v>
      </c>
      <c r="Q12" s="353">
        <v>29</v>
      </c>
      <c r="R12" s="353">
        <v>0</v>
      </c>
      <c r="S12" s="112">
        <v>1265293</v>
      </c>
      <c r="T12" s="110">
        <f t="shared" si="5"/>
        <v>1150040</v>
      </c>
      <c r="U12" s="112">
        <v>1150040</v>
      </c>
      <c r="V12" s="112">
        <v>0</v>
      </c>
      <c r="W12" s="185">
        <f t="shared" si="2"/>
        <v>0</v>
      </c>
    </row>
    <row r="13" spans="1:220" s="71" customFormat="1">
      <c r="A13" s="90">
        <v>2011</v>
      </c>
      <c r="B13" s="353">
        <v>8</v>
      </c>
      <c r="C13" s="353">
        <v>1</v>
      </c>
      <c r="D13" s="108">
        <f t="shared" ref="D13:D22" si="6">SUM(B13:C13)</f>
        <v>9</v>
      </c>
      <c r="E13" s="109">
        <f t="shared" si="3"/>
        <v>9</v>
      </c>
      <c r="F13" s="109">
        <f t="shared" si="4"/>
        <v>8</v>
      </c>
      <c r="G13" s="113"/>
      <c r="H13" s="113"/>
      <c r="I13" s="353">
        <v>45</v>
      </c>
      <c r="J13" s="353">
        <v>51</v>
      </c>
      <c r="K13" s="108">
        <f t="shared" ref="K13:K22" si="7">SUM(I13:J13)</f>
        <v>96</v>
      </c>
      <c r="L13" s="353">
        <v>21</v>
      </c>
      <c r="M13" s="109">
        <f t="shared" ref="M13:M22" si="8">(I13+L13)</f>
        <v>66</v>
      </c>
      <c r="N13" s="353">
        <v>63</v>
      </c>
      <c r="O13" s="353">
        <v>71</v>
      </c>
      <c r="P13" s="183">
        <f t="shared" si="1"/>
        <v>0.92957746478873238</v>
      </c>
      <c r="Q13" s="353">
        <v>34</v>
      </c>
      <c r="R13" s="353">
        <v>1</v>
      </c>
      <c r="S13" s="112">
        <v>1245756</v>
      </c>
      <c r="T13" s="110">
        <f t="shared" si="5"/>
        <v>1136201</v>
      </c>
      <c r="U13" s="112">
        <v>1136201</v>
      </c>
      <c r="V13" s="112">
        <v>0</v>
      </c>
      <c r="W13" s="185">
        <f t="shared" si="2"/>
        <v>0</v>
      </c>
    </row>
    <row r="14" spans="1:220" s="71" customFormat="1">
      <c r="A14" s="90">
        <v>2010</v>
      </c>
      <c r="B14" s="353">
        <v>8</v>
      </c>
      <c r="C14" s="353">
        <v>1.33</v>
      </c>
      <c r="D14" s="108">
        <f t="shared" si="6"/>
        <v>9.33</v>
      </c>
      <c r="E14" s="109">
        <f t="shared" si="3"/>
        <v>11</v>
      </c>
      <c r="F14" s="109">
        <f t="shared" si="4"/>
        <v>9</v>
      </c>
      <c r="G14" s="113"/>
      <c r="H14" s="113"/>
      <c r="I14" s="353">
        <v>37</v>
      </c>
      <c r="J14" s="353">
        <v>53</v>
      </c>
      <c r="K14" s="108">
        <f t="shared" si="7"/>
        <v>90</v>
      </c>
      <c r="L14" s="353">
        <v>46.8</v>
      </c>
      <c r="M14" s="109">
        <f t="shared" si="8"/>
        <v>83.8</v>
      </c>
      <c r="N14" s="353">
        <v>52</v>
      </c>
      <c r="O14" s="352">
        <v>85.8</v>
      </c>
      <c r="P14" s="183">
        <f t="shared" si="1"/>
        <v>0.9766899766899767</v>
      </c>
      <c r="Q14" s="353">
        <v>32</v>
      </c>
      <c r="R14" s="353">
        <v>1</v>
      </c>
      <c r="S14" s="112">
        <v>1141431</v>
      </c>
      <c r="T14" s="110">
        <f t="shared" si="5"/>
        <v>1385653</v>
      </c>
      <c r="U14" s="112">
        <v>1106635</v>
      </c>
      <c r="V14" s="112">
        <v>279018</v>
      </c>
      <c r="W14" s="185">
        <f t="shared" si="2"/>
        <v>0.20136210147850869</v>
      </c>
    </row>
    <row r="15" spans="1:220" s="71" customFormat="1">
      <c r="A15" s="90">
        <v>2009</v>
      </c>
      <c r="B15" s="353">
        <v>8</v>
      </c>
      <c r="C15" s="353">
        <v>1.98</v>
      </c>
      <c r="D15" s="108">
        <f t="shared" si="6"/>
        <v>9.98</v>
      </c>
      <c r="E15" s="109">
        <f t="shared" si="3"/>
        <v>8</v>
      </c>
      <c r="F15" s="109">
        <f t="shared" si="4"/>
        <v>7</v>
      </c>
      <c r="G15" s="113"/>
      <c r="H15" s="113"/>
      <c r="I15" s="353">
        <v>47</v>
      </c>
      <c r="J15" s="353">
        <v>40</v>
      </c>
      <c r="K15" s="108">
        <f t="shared" si="7"/>
        <v>87</v>
      </c>
      <c r="L15" s="353">
        <v>20</v>
      </c>
      <c r="M15" s="109">
        <f t="shared" si="8"/>
        <v>67</v>
      </c>
      <c r="N15" s="353">
        <v>53</v>
      </c>
      <c r="O15" s="353">
        <v>67</v>
      </c>
      <c r="P15" s="183">
        <f t="shared" si="1"/>
        <v>1</v>
      </c>
      <c r="Q15" s="353">
        <v>37</v>
      </c>
      <c r="R15" s="353">
        <v>0</v>
      </c>
      <c r="S15" s="112">
        <v>1265900</v>
      </c>
      <c r="T15" s="110">
        <f t="shared" si="5"/>
        <v>1267182</v>
      </c>
      <c r="U15" s="112">
        <v>1197178</v>
      </c>
      <c r="V15" s="112">
        <v>70004</v>
      </c>
      <c r="W15" s="185">
        <f t="shared" si="2"/>
        <v>5.5243840269195744E-2</v>
      </c>
    </row>
    <row r="16" spans="1:220" s="71" customFormat="1">
      <c r="A16" s="90">
        <v>2008</v>
      </c>
      <c r="B16" s="353">
        <v>8</v>
      </c>
      <c r="C16" s="353">
        <v>1.67</v>
      </c>
      <c r="D16" s="108">
        <f t="shared" si="6"/>
        <v>9.67</v>
      </c>
      <c r="E16" s="109">
        <f t="shared" si="3"/>
        <v>11</v>
      </c>
      <c r="F16" s="109">
        <f t="shared" si="4"/>
        <v>9</v>
      </c>
      <c r="G16" s="113"/>
      <c r="H16" s="113"/>
      <c r="I16" s="353">
        <v>47</v>
      </c>
      <c r="J16" s="353">
        <v>49</v>
      </c>
      <c r="K16" s="108">
        <f t="shared" si="7"/>
        <v>96</v>
      </c>
      <c r="L16" s="353">
        <v>28.6</v>
      </c>
      <c r="M16" s="109">
        <f t="shared" si="8"/>
        <v>75.599999999999994</v>
      </c>
      <c r="N16" s="353">
        <v>53</v>
      </c>
      <c r="O16" s="353">
        <v>85</v>
      </c>
      <c r="P16" s="183">
        <f t="shared" si="1"/>
        <v>0.88941176470588224</v>
      </c>
      <c r="Q16" s="353">
        <v>44</v>
      </c>
      <c r="R16" s="353">
        <v>0</v>
      </c>
      <c r="S16" s="112">
        <v>1179346</v>
      </c>
      <c r="T16" s="110">
        <f t="shared" si="5"/>
        <v>1393124</v>
      </c>
      <c r="U16" s="112">
        <v>1329674</v>
      </c>
      <c r="V16" s="112">
        <v>63450</v>
      </c>
      <c r="W16" s="185">
        <f t="shared" si="2"/>
        <v>4.5545120175949881E-2</v>
      </c>
      <c r="X16" s="126"/>
      <c r="Y16" s="126"/>
      <c r="Z16" s="126"/>
      <c r="AA16" s="126"/>
      <c r="AB16" s="126"/>
      <c r="AC16" s="126"/>
      <c r="AD16" s="126"/>
      <c r="AE16" s="126"/>
      <c r="AF16" s="126"/>
      <c r="AG16" s="126"/>
      <c r="AH16" s="126"/>
      <c r="AI16" s="126"/>
      <c r="AJ16" s="126"/>
      <c r="AK16" s="126"/>
      <c r="AL16" s="126"/>
    </row>
    <row r="17" spans="1:38" s="97" customFormat="1">
      <c r="A17" s="90">
        <v>2007</v>
      </c>
      <c r="B17" s="353">
        <v>8</v>
      </c>
      <c r="C17" s="353">
        <v>2.33</v>
      </c>
      <c r="D17" s="194">
        <f t="shared" si="6"/>
        <v>10.33</v>
      </c>
      <c r="E17" s="109">
        <f t="shared" si="3"/>
        <v>9</v>
      </c>
      <c r="F17" s="109">
        <f t="shared" si="4"/>
        <v>7</v>
      </c>
      <c r="G17" s="113"/>
      <c r="H17" s="113"/>
      <c r="I17" s="353">
        <v>44</v>
      </c>
      <c r="J17" s="353">
        <v>58</v>
      </c>
      <c r="K17" s="194">
        <f t="shared" si="7"/>
        <v>102</v>
      </c>
      <c r="L17" s="353">
        <v>27.5</v>
      </c>
      <c r="M17" s="109">
        <f t="shared" si="8"/>
        <v>71.5</v>
      </c>
      <c r="N17" s="353">
        <v>43</v>
      </c>
      <c r="O17" s="353">
        <v>72</v>
      </c>
      <c r="P17" s="183">
        <f t="shared" si="1"/>
        <v>0.99305555555555558</v>
      </c>
      <c r="Q17" s="353">
        <v>48</v>
      </c>
      <c r="R17" s="353">
        <v>0</v>
      </c>
      <c r="S17" s="192">
        <v>1020417</v>
      </c>
      <c r="T17" s="110">
        <f t="shared" si="5"/>
        <v>1204127</v>
      </c>
      <c r="U17" s="192">
        <v>1132016</v>
      </c>
      <c r="V17" s="192">
        <v>72111</v>
      </c>
      <c r="W17" s="185">
        <f t="shared" si="2"/>
        <v>5.9886540207137622E-2</v>
      </c>
      <c r="X17" s="126"/>
      <c r="Y17" s="126"/>
      <c r="Z17" s="126"/>
      <c r="AA17" s="126"/>
      <c r="AB17" s="126"/>
      <c r="AC17" s="126"/>
      <c r="AD17" s="126"/>
      <c r="AE17" s="126"/>
      <c r="AF17" s="126"/>
      <c r="AG17" s="126"/>
      <c r="AH17" s="126"/>
      <c r="AI17" s="126"/>
      <c r="AJ17" s="126"/>
      <c r="AK17" s="126"/>
      <c r="AL17" s="126"/>
    </row>
    <row r="18" spans="1:38" s="97" customFormat="1">
      <c r="A18" s="90">
        <v>2006</v>
      </c>
      <c r="B18" s="353">
        <v>6</v>
      </c>
      <c r="C18" s="353">
        <v>2</v>
      </c>
      <c r="D18" s="194">
        <f t="shared" si="6"/>
        <v>8</v>
      </c>
      <c r="E18" s="109">
        <f t="shared" si="3"/>
        <v>15</v>
      </c>
      <c r="F18" s="109">
        <f t="shared" si="4"/>
        <v>11</v>
      </c>
      <c r="G18" s="113"/>
      <c r="H18" s="113"/>
      <c r="I18" s="353">
        <v>48</v>
      </c>
      <c r="J18" s="353">
        <v>78</v>
      </c>
      <c r="K18" s="194">
        <f t="shared" si="7"/>
        <v>126</v>
      </c>
      <c r="L18" s="353">
        <v>42</v>
      </c>
      <c r="M18" s="109">
        <f t="shared" si="8"/>
        <v>90</v>
      </c>
      <c r="N18" s="353">
        <v>74</v>
      </c>
      <c r="O18" s="353">
        <v>90</v>
      </c>
      <c r="P18" s="183">
        <f t="shared" si="1"/>
        <v>1</v>
      </c>
      <c r="Q18" s="353">
        <v>45</v>
      </c>
      <c r="R18" s="353">
        <v>0</v>
      </c>
      <c r="S18" s="192">
        <v>930739</v>
      </c>
      <c r="T18" s="110">
        <f t="shared" si="5"/>
        <v>1122419</v>
      </c>
      <c r="U18" s="192">
        <v>1017060</v>
      </c>
      <c r="V18" s="192">
        <v>105359</v>
      </c>
      <c r="W18" s="185">
        <f t="shared" si="2"/>
        <v>9.3867798032642003E-2</v>
      </c>
      <c r="X18" s="126"/>
      <c r="Y18" s="126"/>
      <c r="Z18" s="126"/>
      <c r="AA18" s="126"/>
      <c r="AB18" s="126"/>
      <c r="AC18" s="126"/>
      <c r="AD18" s="126"/>
      <c r="AE18" s="126"/>
      <c r="AF18" s="126"/>
      <c r="AG18" s="126"/>
      <c r="AH18" s="126"/>
      <c r="AI18" s="126"/>
      <c r="AJ18" s="126"/>
      <c r="AK18" s="126"/>
      <c r="AL18" s="126"/>
    </row>
    <row r="19" spans="1:38" s="97" customFormat="1">
      <c r="A19" s="90">
        <v>2005</v>
      </c>
      <c r="B19" s="353">
        <v>6</v>
      </c>
      <c r="C19" s="353">
        <v>2</v>
      </c>
      <c r="D19" s="194">
        <f t="shared" si="6"/>
        <v>8</v>
      </c>
      <c r="E19" s="109">
        <f t="shared" si="3"/>
        <v>18</v>
      </c>
      <c r="F19" s="109">
        <f t="shared" si="4"/>
        <v>13</v>
      </c>
      <c r="G19" s="113"/>
      <c r="H19" s="113"/>
      <c r="I19" s="353">
        <v>62</v>
      </c>
      <c r="J19" s="353">
        <v>73</v>
      </c>
      <c r="K19" s="194">
        <f t="shared" si="7"/>
        <v>135</v>
      </c>
      <c r="L19" s="353">
        <v>36</v>
      </c>
      <c r="M19" s="109">
        <f t="shared" si="8"/>
        <v>98</v>
      </c>
      <c r="N19" s="353">
        <v>74</v>
      </c>
      <c r="O19" s="353">
        <v>107</v>
      </c>
      <c r="P19" s="183">
        <f t="shared" si="1"/>
        <v>0.91588785046728971</v>
      </c>
      <c r="Q19" s="353">
        <v>53</v>
      </c>
      <c r="R19" s="353">
        <v>0</v>
      </c>
      <c r="S19" s="192">
        <v>921914</v>
      </c>
      <c r="T19" s="110">
        <f t="shared" si="5"/>
        <v>1184057</v>
      </c>
      <c r="U19" s="192">
        <v>981407</v>
      </c>
      <c r="V19" s="192">
        <v>202650</v>
      </c>
      <c r="W19" s="185">
        <f t="shared" si="2"/>
        <v>0.17114885516491182</v>
      </c>
      <c r="X19" s="126"/>
      <c r="Y19" s="126"/>
      <c r="Z19" s="126"/>
      <c r="AA19" s="126"/>
      <c r="AB19" s="126"/>
      <c r="AC19" s="126"/>
      <c r="AD19" s="126"/>
      <c r="AE19" s="126"/>
      <c r="AF19" s="126"/>
      <c r="AG19" s="126"/>
      <c r="AH19" s="126"/>
      <c r="AI19" s="126"/>
      <c r="AJ19" s="126"/>
      <c r="AK19" s="126"/>
      <c r="AL19" s="126"/>
    </row>
    <row r="20" spans="1:38" s="97" customFormat="1">
      <c r="A20" s="90">
        <v>2004</v>
      </c>
      <c r="B20" s="240">
        <v>6</v>
      </c>
      <c r="C20" s="195">
        <v>2</v>
      </c>
      <c r="D20" s="194">
        <f t="shared" si="6"/>
        <v>8</v>
      </c>
      <c r="E20" s="109">
        <f t="shared" si="3"/>
        <v>21</v>
      </c>
      <c r="F20" s="109">
        <f t="shared" si="4"/>
        <v>16</v>
      </c>
      <c r="G20" s="113"/>
      <c r="H20" s="113"/>
      <c r="I20" s="240">
        <v>67</v>
      </c>
      <c r="J20" s="240">
        <v>59</v>
      </c>
      <c r="K20" s="194">
        <f t="shared" si="7"/>
        <v>126</v>
      </c>
      <c r="L20" s="195">
        <v>34</v>
      </c>
      <c r="M20" s="109">
        <f t="shared" si="8"/>
        <v>101</v>
      </c>
      <c r="N20" s="195">
        <v>76</v>
      </c>
      <c r="O20" s="195">
        <v>126</v>
      </c>
      <c r="P20" s="183">
        <f t="shared" si="1"/>
        <v>0.80158730158730163</v>
      </c>
      <c r="Q20" s="195">
        <v>56</v>
      </c>
      <c r="R20" s="353">
        <v>1</v>
      </c>
      <c r="S20" s="682" t="s">
        <v>92</v>
      </c>
      <c r="T20" s="682"/>
      <c r="U20" s="682"/>
      <c r="V20" s="682"/>
      <c r="W20" s="682"/>
      <c r="X20" s="126"/>
      <c r="Y20" s="126"/>
      <c r="Z20" s="126"/>
      <c r="AA20" s="126"/>
      <c r="AB20" s="126"/>
      <c r="AC20" s="126"/>
      <c r="AD20" s="126"/>
      <c r="AE20" s="126"/>
      <c r="AF20" s="126"/>
      <c r="AG20" s="126"/>
      <c r="AH20" s="126"/>
      <c r="AI20" s="126"/>
      <c r="AJ20" s="126"/>
      <c r="AK20" s="126"/>
      <c r="AL20" s="126"/>
    </row>
    <row r="21" spans="1:38" s="97" customFormat="1">
      <c r="A21" s="90">
        <v>2003</v>
      </c>
      <c r="B21" s="195">
        <v>6</v>
      </c>
      <c r="C21" s="195">
        <v>3</v>
      </c>
      <c r="D21" s="194">
        <f t="shared" si="6"/>
        <v>9</v>
      </c>
      <c r="E21" s="109">
        <f t="shared" si="3"/>
        <v>18</v>
      </c>
      <c r="F21" s="109">
        <f t="shared" si="4"/>
        <v>12</v>
      </c>
      <c r="G21" s="113"/>
      <c r="H21" s="113"/>
      <c r="I21" s="195">
        <v>61</v>
      </c>
      <c r="J21" s="195">
        <v>68</v>
      </c>
      <c r="K21" s="194">
        <f t="shared" si="7"/>
        <v>129</v>
      </c>
      <c r="L21" s="195">
        <v>38</v>
      </c>
      <c r="M21" s="109">
        <f t="shared" si="8"/>
        <v>99</v>
      </c>
      <c r="N21" s="195">
        <v>72</v>
      </c>
      <c r="O21" s="195">
        <v>106</v>
      </c>
      <c r="P21" s="183">
        <f t="shared" si="1"/>
        <v>0.93396226415094341</v>
      </c>
      <c r="Q21" s="195">
        <v>38</v>
      </c>
      <c r="R21" s="353">
        <v>0</v>
      </c>
      <c r="S21" s="192">
        <v>916502</v>
      </c>
      <c r="T21" s="239">
        <f>SUM(U21:V21)</f>
        <v>952302</v>
      </c>
      <c r="U21" s="192">
        <v>674935</v>
      </c>
      <c r="V21" s="192">
        <v>277367</v>
      </c>
      <c r="W21" s="185">
        <f>V21/T21</f>
        <v>0.29125949541216967</v>
      </c>
      <c r="X21" s="126"/>
      <c r="Y21" s="126"/>
      <c r="Z21" s="126"/>
      <c r="AA21" s="126"/>
      <c r="AB21" s="126"/>
      <c r="AC21" s="126"/>
      <c r="AD21" s="126"/>
      <c r="AE21" s="126"/>
      <c r="AF21" s="126"/>
      <c r="AG21" s="126"/>
      <c r="AH21" s="126"/>
      <c r="AI21" s="126"/>
      <c r="AJ21" s="126"/>
      <c r="AK21" s="126"/>
      <c r="AL21" s="126"/>
    </row>
    <row r="22" spans="1:38" s="97" customFormat="1">
      <c r="A22" s="90">
        <v>2002</v>
      </c>
      <c r="B22" s="195">
        <v>5</v>
      </c>
      <c r="C22" s="195">
        <v>2</v>
      </c>
      <c r="D22" s="194">
        <f t="shared" si="6"/>
        <v>7</v>
      </c>
      <c r="E22" s="109">
        <f t="shared" si="3"/>
        <v>15</v>
      </c>
      <c r="F22" s="109">
        <f t="shared" si="4"/>
        <v>11</v>
      </c>
      <c r="G22" s="113"/>
      <c r="H22" s="113"/>
      <c r="I22" s="195">
        <v>47</v>
      </c>
      <c r="J22" s="195">
        <v>65</v>
      </c>
      <c r="K22" s="194">
        <f t="shared" si="7"/>
        <v>112</v>
      </c>
      <c r="L22" s="195">
        <f>ROUND(29.3, 0)</f>
        <v>29</v>
      </c>
      <c r="M22" s="109">
        <f t="shared" si="8"/>
        <v>76</v>
      </c>
      <c r="N22" s="195">
        <v>53</v>
      </c>
      <c r="O22" s="195">
        <f>ROUND(76.34, 0)</f>
        <v>76</v>
      </c>
      <c r="P22" s="183">
        <f t="shared" si="1"/>
        <v>1</v>
      </c>
      <c r="Q22" s="195">
        <v>38</v>
      </c>
      <c r="R22" s="353">
        <v>1</v>
      </c>
      <c r="S22" s="192">
        <v>500568</v>
      </c>
      <c r="T22" s="239">
        <f>SUM(U22:V22)</f>
        <v>507068</v>
      </c>
      <c r="U22" s="192">
        <v>472568</v>
      </c>
      <c r="V22" s="192">
        <v>34500</v>
      </c>
      <c r="W22" s="185">
        <f>V22/T22</f>
        <v>6.8038211837465584E-2</v>
      </c>
      <c r="X22" s="126"/>
      <c r="Y22" s="126"/>
      <c r="Z22" s="126"/>
      <c r="AA22" s="126"/>
      <c r="AB22" s="126"/>
      <c r="AC22" s="126"/>
      <c r="AD22" s="126"/>
      <c r="AE22" s="126"/>
      <c r="AF22" s="126"/>
      <c r="AG22" s="126"/>
      <c r="AH22" s="126"/>
      <c r="AI22" s="126"/>
      <c r="AJ22" s="126"/>
      <c r="AK22" s="126"/>
      <c r="AL22" s="126"/>
    </row>
    <row r="23" spans="1:38" s="14" customFormat="1"/>
    <row r="24" spans="1:38" s="14" customFormat="1"/>
    <row r="25" spans="1:38" s="14" customFormat="1"/>
    <row r="26" spans="1:38" s="14" customFormat="1"/>
    <row r="27" spans="1:38" s="14" customFormat="1"/>
    <row r="28" spans="1:38" s="14" customFormat="1"/>
    <row r="29" spans="1:38" s="14" customFormat="1"/>
    <row r="30" spans="1:38" s="14" customFormat="1"/>
    <row r="31" spans="1:38" s="14" customFormat="1"/>
    <row r="32" spans="1:38" s="14" customFormat="1"/>
    <row r="33" s="14" customFormat="1"/>
    <row r="34" s="14" customFormat="1"/>
  </sheetData>
  <mergeCells count="1">
    <mergeCell ref="S20:W20"/>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L34"/>
  <sheetViews>
    <sheetView workbookViewId="0">
      <selection activeCell="L30" sqref="L30"/>
    </sheetView>
  </sheetViews>
  <sheetFormatPr defaultColWidth="8.85546875" defaultRowHeight="15"/>
  <cols>
    <col min="1" max="1" width="9.42578125" style="26" customWidth="1"/>
    <col min="2" max="2" width="8.7109375" style="26" customWidth="1"/>
    <col min="3" max="3" width="10" style="26" customWidth="1"/>
    <col min="4" max="4" width="9.85546875" style="26" customWidth="1"/>
    <col min="5" max="5" width="11.85546875" style="26" customWidth="1"/>
    <col min="6" max="8" width="12.140625" style="26" customWidth="1"/>
    <col min="9" max="9" width="8.85546875" style="26" bestFit="1" customWidth="1"/>
    <col min="10" max="11" width="11.85546875" style="26" bestFit="1" customWidth="1"/>
    <col min="12" max="12" width="12.28515625" style="26" bestFit="1" customWidth="1"/>
    <col min="13" max="13" width="13.140625" style="26" bestFit="1" customWidth="1"/>
    <col min="14" max="14" width="11.7109375" style="26" customWidth="1"/>
    <col min="15" max="15" width="13.42578125" style="26" bestFit="1" customWidth="1"/>
    <col min="16" max="16" width="14.28515625" style="26" customWidth="1"/>
    <col min="17" max="17" width="12.42578125" style="26" bestFit="1" customWidth="1"/>
    <col min="18" max="18" width="9" style="26" bestFit="1" customWidth="1"/>
    <col min="19" max="19" width="13" style="26" customWidth="1"/>
    <col min="20" max="20" width="12.85546875" style="26" bestFit="1" customWidth="1"/>
    <col min="21" max="21" width="10.42578125" style="26" bestFit="1" customWidth="1"/>
    <col min="22" max="22" width="10.85546875" style="26" bestFit="1" customWidth="1"/>
    <col min="23" max="23" width="12.85546875" style="26" bestFit="1" customWidth="1"/>
    <col min="24" max="220" width="8.85546875" style="22"/>
    <col min="221" max="16384" width="8.85546875" style="26"/>
  </cols>
  <sheetData>
    <row r="1" spans="1:220" s="1" customFormat="1" ht="18.75">
      <c r="A1" s="1" t="s">
        <v>0</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row>
    <row r="3" spans="1:220" customFormat="1">
      <c r="A3" s="6">
        <v>2021</v>
      </c>
      <c r="B3" s="447">
        <v>15</v>
      </c>
      <c r="C3" s="447">
        <v>1.4</v>
      </c>
      <c r="D3" s="410">
        <f>SUM(B3:C3)</f>
        <v>16.399999999999999</v>
      </c>
      <c r="E3" s="411">
        <f>ROUND((O3/B3), 0)</f>
        <v>13</v>
      </c>
      <c r="F3" s="411">
        <f>ROUND((O3/D3), 0)</f>
        <v>12</v>
      </c>
      <c r="G3" s="447">
        <v>11</v>
      </c>
      <c r="H3" s="447">
        <v>1.4</v>
      </c>
      <c r="I3" s="447">
        <v>105</v>
      </c>
      <c r="J3" s="447">
        <v>151</v>
      </c>
      <c r="K3" s="410">
        <f t="shared" ref="K3" si="0">SUM(I3:J3)</f>
        <v>256</v>
      </c>
      <c r="L3" s="447">
        <v>85.78</v>
      </c>
      <c r="M3" s="411">
        <f>(I3+L3)</f>
        <v>190.78</v>
      </c>
      <c r="N3" s="447">
        <v>45</v>
      </c>
      <c r="O3" s="447">
        <v>190.78</v>
      </c>
      <c r="P3" s="413">
        <f t="shared" ref="P3" si="1">M3/O3</f>
        <v>1</v>
      </c>
      <c r="Q3" s="447">
        <v>70</v>
      </c>
      <c r="R3" s="447">
        <v>4</v>
      </c>
      <c r="S3" s="512">
        <v>2090849</v>
      </c>
      <c r="T3" s="415">
        <f>SUM(U3:V3)</f>
        <v>2263095</v>
      </c>
      <c r="U3" s="512">
        <v>1617050</v>
      </c>
      <c r="V3" s="512">
        <v>646045</v>
      </c>
      <c r="W3" s="335">
        <f t="shared" ref="W3" si="2">V3/T3</f>
        <v>0.28546967758755154</v>
      </c>
    </row>
    <row r="4" spans="1:220" customFormat="1">
      <c r="A4" s="6">
        <v>2020</v>
      </c>
      <c r="B4" s="447">
        <v>14</v>
      </c>
      <c r="C4" s="447">
        <v>1.25</v>
      </c>
      <c r="D4" s="410">
        <f>SUM(B4:C4)</f>
        <v>15.25</v>
      </c>
      <c r="E4" s="411">
        <f>ROUND((O4/B4), 0)</f>
        <v>11</v>
      </c>
      <c r="F4" s="411">
        <f>ROUND((O4/D4), 0)</f>
        <v>10</v>
      </c>
      <c r="G4" s="447">
        <v>11</v>
      </c>
      <c r="H4" s="447">
        <v>1.25</v>
      </c>
      <c r="I4" s="447">
        <v>74</v>
      </c>
      <c r="J4" s="447">
        <v>128</v>
      </c>
      <c r="K4" s="410">
        <f t="shared" ref="K4" si="3">SUM(I4:J4)</f>
        <v>202</v>
      </c>
      <c r="L4" s="447">
        <v>75.67</v>
      </c>
      <c r="M4" s="411">
        <f>(I4+L4)</f>
        <v>149.67000000000002</v>
      </c>
      <c r="N4" s="447">
        <v>39</v>
      </c>
      <c r="O4" s="447">
        <v>157</v>
      </c>
      <c r="P4" s="413">
        <f t="shared" ref="P4" si="4">M4/O4</f>
        <v>0.95331210191082816</v>
      </c>
      <c r="Q4" s="447">
        <v>92</v>
      </c>
      <c r="R4" s="447">
        <v>5</v>
      </c>
      <c r="S4" s="512">
        <v>2362599</v>
      </c>
      <c r="T4" s="415">
        <f>SUM(U4:V4)</f>
        <v>2815617</v>
      </c>
      <c r="U4" s="512">
        <v>1949417</v>
      </c>
      <c r="V4" s="512">
        <v>866200</v>
      </c>
      <c r="W4" s="335">
        <f t="shared" ref="W4" si="5">V4/T4</f>
        <v>0.30764127365334132</v>
      </c>
    </row>
    <row r="5" spans="1:220" s="3" customFormat="1">
      <c r="A5" s="417">
        <v>2019</v>
      </c>
      <c r="B5" s="409">
        <v>14</v>
      </c>
      <c r="C5" s="409">
        <v>1</v>
      </c>
      <c r="D5" s="410">
        <f>SUM(B5:C5)</f>
        <v>15</v>
      </c>
      <c r="E5" s="411">
        <f>ROUND((O5/B5), 0)</f>
        <v>11</v>
      </c>
      <c r="F5" s="411">
        <f>ROUND((O5/D5), 0)</f>
        <v>10</v>
      </c>
      <c r="G5" s="409">
        <v>11</v>
      </c>
      <c r="H5" s="409">
        <v>1</v>
      </c>
      <c r="I5" s="409">
        <v>74</v>
      </c>
      <c r="J5" s="409">
        <v>111</v>
      </c>
      <c r="K5" s="410">
        <f t="shared" ref="K5" si="6">SUM(I5:J5)</f>
        <v>185</v>
      </c>
      <c r="L5" s="412">
        <v>64.56</v>
      </c>
      <c r="M5" s="411">
        <f>(I5+L5)</f>
        <v>138.56</v>
      </c>
      <c r="N5" s="409">
        <v>23</v>
      </c>
      <c r="O5" s="409">
        <v>147.88999999999999</v>
      </c>
      <c r="P5" s="413">
        <f t="shared" ref="P5" si="7">M5/O5</f>
        <v>0.93691257015349261</v>
      </c>
      <c r="Q5" s="409">
        <v>107</v>
      </c>
      <c r="R5" s="409">
        <v>2</v>
      </c>
      <c r="S5" s="414">
        <v>2123033</v>
      </c>
      <c r="T5" s="415">
        <f>SUM(U5:V5)</f>
        <v>3057488</v>
      </c>
      <c r="U5" s="414">
        <v>1893886</v>
      </c>
      <c r="V5" s="414">
        <v>1163602</v>
      </c>
      <c r="W5" s="335">
        <f t="shared" ref="W5" si="8">V5/T5</f>
        <v>0.3805745108402715</v>
      </c>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6"/>
      <c r="BO5" s="416"/>
      <c r="BP5" s="416"/>
      <c r="BQ5" s="416"/>
      <c r="BR5" s="416"/>
      <c r="BS5" s="416"/>
      <c r="BT5" s="416"/>
      <c r="BU5" s="416"/>
      <c r="BV5" s="416"/>
      <c r="BW5" s="416"/>
      <c r="BX5" s="416"/>
      <c r="BY5" s="416"/>
      <c r="BZ5" s="416"/>
      <c r="CA5" s="416"/>
      <c r="CB5" s="416"/>
      <c r="CC5" s="416"/>
      <c r="CD5" s="416"/>
      <c r="CE5" s="416"/>
      <c r="CF5" s="416"/>
      <c r="CG5" s="416"/>
      <c r="CH5" s="416"/>
      <c r="CI5" s="416"/>
      <c r="CJ5" s="416"/>
      <c r="CK5" s="416"/>
      <c r="CL5" s="416"/>
      <c r="CM5" s="416"/>
      <c r="CN5" s="416"/>
      <c r="CO5" s="416"/>
      <c r="CP5" s="416"/>
      <c r="CQ5" s="416"/>
      <c r="CR5" s="416"/>
      <c r="CS5" s="416"/>
      <c r="CT5" s="416"/>
      <c r="CU5" s="416"/>
      <c r="CV5" s="416"/>
      <c r="CW5" s="416"/>
      <c r="CX5" s="416"/>
      <c r="CY5" s="416"/>
      <c r="CZ5" s="416"/>
      <c r="DA5" s="416"/>
      <c r="DB5" s="416"/>
      <c r="DC5" s="416"/>
      <c r="DD5" s="416"/>
      <c r="DE5" s="416"/>
      <c r="DF5" s="416"/>
      <c r="DG5" s="416"/>
      <c r="DH5" s="416"/>
      <c r="DI5" s="416"/>
      <c r="DJ5" s="416"/>
      <c r="DK5" s="416"/>
      <c r="DL5" s="416"/>
      <c r="DM5" s="416"/>
      <c r="DN5" s="416"/>
      <c r="DO5" s="416"/>
      <c r="DP5" s="416"/>
      <c r="DQ5" s="416"/>
      <c r="DR5" s="416"/>
      <c r="DS5" s="416"/>
      <c r="DT5" s="416"/>
      <c r="DU5" s="416"/>
      <c r="DV5" s="416"/>
      <c r="DW5" s="416"/>
      <c r="DX5" s="416"/>
      <c r="DY5" s="416"/>
      <c r="DZ5" s="416"/>
      <c r="EA5" s="416"/>
      <c r="EB5" s="416"/>
      <c r="EC5" s="416"/>
      <c r="ED5" s="416"/>
      <c r="EE5" s="416"/>
      <c r="EF5" s="416"/>
      <c r="EG5" s="416"/>
      <c r="EH5" s="416"/>
      <c r="EI5" s="416"/>
      <c r="EJ5" s="416"/>
      <c r="EK5" s="416"/>
      <c r="EL5" s="416"/>
      <c r="EM5" s="416"/>
      <c r="EN5" s="416"/>
      <c r="EO5" s="416"/>
      <c r="EP5" s="416"/>
      <c r="EQ5" s="416"/>
      <c r="ER5" s="416"/>
      <c r="ES5" s="416"/>
      <c r="ET5" s="416"/>
      <c r="EU5" s="416"/>
      <c r="EV5" s="416"/>
      <c r="EW5" s="416"/>
      <c r="EX5" s="416"/>
      <c r="EY5" s="416"/>
      <c r="EZ5" s="416"/>
      <c r="FA5" s="416"/>
      <c r="FB5" s="416"/>
      <c r="FC5" s="416"/>
      <c r="FD5" s="416"/>
      <c r="FE5" s="416"/>
      <c r="FF5" s="416"/>
      <c r="FG5" s="416"/>
      <c r="FH5" s="416"/>
      <c r="FI5" s="416"/>
      <c r="FJ5" s="416"/>
      <c r="FK5" s="416"/>
      <c r="FL5" s="416"/>
      <c r="FM5" s="416"/>
      <c r="FN5" s="416"/>
      <c r="FO5" s="416"/>
      <c r="FP5" s="416"/>
      <c r="FQ5" s="416"/>
      <c r="FR5" s="416"/>
      <c r="FS5" s="416"/>
      <c r="FT5" s="416"/>
      <c r="FU5" s="416"/>
      <c r="FV5" s="416"/>
      <c r="FW5" s="416"/>
      <c r="FX5" s="416"/>
      <c r="FY5" s="416"/>
      <c r="FZ5" s="416"/>
      <c r="GA5" s="416"/>
      <c r="GB5" s="416"/>
      <c r="GC5" s="416"/>
      <c r="GD5" s="416"/>
      <c r="GE5" s="416"/>
      <c r="GF5" s="416"/>
      <c r="GG5" s="416"/>
      <c r="GH5" s="416"/>
      <c r="GI5" s="416"/>
      <c r="GJ5" s="416"/>
      <c r="GK5" s="416"/>
      <c r="GL5" s="416"/>
      <c r="GM5" s="416"/>
      <c r="GN5" s="416"/>
      <c r="GO5" s="416"/>
      <c r="GP5" s="416"/>
      <c r="GQ5" s="416"/>
      <c r="GR5" s="416"/>
      <c r="GS5" s="416"/>
      <c r="GT5" s="416"/>
      <c r="GU5" s="416"/>
      <c r="GV5" s="416"/>
      <c r="GW5" s="416"/>
      <c r="GX5" s="416"/>
      <c r="GY5" s="416"/>
      <c r="GZ5" s="416"/>
      <c r="HA5" s="416"/>
      <c r="HB5" s="416"/>
      <c r="HC5" s="416"/>
      <c r="HD5" s="416"/>
      <c r="HE5" s="416"/>
      <c r="HF5" s="416"/>
      <c r="HG5" s="416"/>
      <c r="HH5" s="416"/>
      <c r="HI5" s="416"/>
      <c r="HJ5" s="416"/>
      <c r="HK5" s="416"/>
      <c r="HL5" s="416"/>
    </row>
    <row r="6" spans="1:220" s="17" customFormat="1">
      <c r="A6" s="33">
        <v>2018</v>
      </c>
      <c r="B6" s="20">
        <v>11</v>
      </c>
      <c r="C6" s="20">
        <v>2.2000000000000002</v>
      </c>
      <c r="D6" s="29">
        <f>SUM(B6:C6)</f>
        <v>13.2</v>
      </c>
      <c r="E6" s="172">
        <f>ROUND((O6/B6), 0)</f>
        <v>15</v>
      </c>
      <c r="F6" s="172">
        <f>ROUND((O6/D6), 0)</f>
        <v>12</v>
      </c>
      <c r="G6" s="20">
        <v>9</v>
      </c>
      <c r="H6" s="20">
        <v>2</v>
      </c>
      <c r="I6" s="20">
        <v>54</v>
      </c>
      <c r="J6" s="20">
        <v>165</v>
      </c>
      <c r="K6" s="29">
        <f t="shared" ref="K6" si="9">SUM(I6:J6)</f>
        <v>219</v>
      </c>
      <c r="L6" s="20">
        <v>100.22</v>
      </c>
      <c r="M6" s="172">
        <f>(I6+L6)</f>
        <v>154.22</v>
      </c>
      <c r="N6" s="20">
        <v>29</v>
      </c>
      <c r="O6" s="20">
        <v>163.55000000000001</v>
      </c>
      <c r="P6" s="183">
        <f t="shared" ref="P6" si="10">M6/O6</f>
        <v>0.94295322531335979</v>
      </c>
      <c r="Q6" s="20">
        <v>77</v>
      </c>
      <c r="R6" s="20">
        <v>4</v>
      </c>
      <c r="S6" s="24">
        <v>2206489.2200000002</v>
      </c>
      <c r="T6" s="30">
        <f>SUM(U6:V6)</f>
        <v>3025564.87</v>
      </c>
      <c r="U6" s="24">
        <v>2066275.86</v>
      </c>
      <c r="V6" s="24">
        <v>959289.01</v>
      </c>
      <c r="W6" s="185">
        <f t="shared" ref="W6" si="11">V6/T6</f>
        <v>0.3170611278283384</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7" customFormat="1">
      <c r="A7" s="33">
        <v>2017</v>
      </c>
      <c r="B7" s="20">
        <v>12</v>
      </c>
      <c r="C7" s="20">
        <v>1.6</v>
      </c>
      <c r="D7" s="29">
        <f t="shared" ref="D7" si="12">SUM(B7:C7)</f>
        <v>13.6</v>
      </c>
      <c r="E7" s="172">
        <f t="shared" ref="E7:E8" si="13">ROUND((O7/B7), 0)</f>
        <v>14</v>
      </c>
      <c r="F7" s="172">
        <f t="shared" ref="F7:F8" si="14">ROUND((O7/D7), 0)</f>
        <v>12</v>
      </c>
      <c r="G7" s="20">
        <v>9</v>
      </c>
      <c r="H7" s="20">
        <v>1.6</v>
      </c>
      <c r="I7" s="20">
        <v>47</v>
      </c>
      <c r="J7" s="20">
        <v>171</v>
      </c>
      <c r="K7" s="29">
        <f t="shared" ref="K7:K10" si="15">SUM(I7:J7)</f>
        <v>218</v>
      </c>
      <c r="L7" s="20">
        <v>112.33</v>
      </c>
      <c r="M7" s="172">
        <f t="shared" ref="M7:M8" si="16">(I7+L7)</f>
        <v>159.32999999999998</v>
      </c>
      <c r="N7" s="20">
        <v>26</v>
      </c>
      <c r="O7" s="20">
        <v>168.55</v>
      </c>
      <c r="P7" s="183">
        <f t="shared" ref="P7:P22" si="17">M7/O7</f>
        <v>0.94529813111836236</v>
      </c>
      <c r="Q7" s="20">
        <v>70</v>
      </c>
      <c r="R7" s="20">
        <v>3</v>
      </c>
      <c r="S7" s="24">
        <v>2154749</v>
      </c>
      <c r="T7" s="30">
        <f t="shared" ref="T7:T8" si="18">SUM(U7:V7)</f>
        <v>2802357</v>
      </c>
      <c r="U7" s="24">
        <v>2072332</v>
      </c>
      <c r="V7" s="24">
        <v>730025</v>
      </c>
      <c r="W7" s="185">
        <f t="shared" ref="W7:W22" si="19">V7/T7</f>
        <v>0.26050392580245846</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row>
    <row r="8" spans="1:220" s="75" customFormat="1">
      <c r="A8" s="95">
        <v>2016</v>
      </c>
      <c r="B8" s="63">
        <v>12</v>
      </c>
      <c r="C8" s="63">
        <v>6.4</v>
      </c>
      <c r="D8" s="108">
        <f t="shared" ref="D8" si="20">SUM(B8:C8)</f>
        <v>18.399999999999999</v>
      </c>
      <c r="E8" s="109">
        <f t="shared" si="13"/>
        <v>12</v>
      </c>
      <c r="F8" s="109">
        <f t="shared" si="14"/>
        <v>8</v>
      </c>
      <c r="G8" s="63">
        <v>9</v>
      </c>
      <c r="H8" s="63">
        <v>6.4</v>
      </c>
      <c r="I8" s="63">
        <v>39</v>
      </c>
      <c r="J8" s="63">
        <v>152</v>
      </c>
      <c r="K8" s="108">
        <f t="shared" si="15"/>
        <v>191</v>
      </c>
      <c r="L8" s="63">
        <v>99</v>
      </c>
      <c r="M8" s="109">
        <f t="shared" si="16"/>
        <v>138</v>
      </c>
      <c r="N8" s="63">
        <v>9</v>
      </c>
      <c r="O8" s="63">
        <v>141</v>
      </c>
      <c r="P8" s="183">
        <f t="shared" si="17"/>
        <v>0.97872340425531912</v>
      </c>
      <c r="Q8" s="63">
        <v>91</v>
      </c>
      <c r="R8" s="63">
        <v>4</v>
      </c>
      <c r="S8" s="64">
        <v>2512699</v>
      </c>
      <c r="T8" s="110">
        <f t="shared" si="18"/>
        <v>2683380</v>
      </c>
      <c r="U8" s="64">
        <v>1977413</v>
      </c>
      <c r="V8" s="64">
        <v>705967</v>
      </c>
      <c r="W8" s="185">
        <f t="shared" si="19"/>
        <v>0.26308871646952725</v>
      </c>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row>
    <row r="9" spans="1:220" s="7" customFormat="1">
      <c r="A9" s="141">
        <v>2015</v>
      </c>
      <c r="B9" s="173">
        <v>11</v>
      </c>
      <c r="C9" s="173">
        <v>0.2</v>
      </c>
      <c r="D9" s="174">
        <v>11.2</v>
      </c>
      <c r="E9" s="174">
        <v>14.1</v>
      </c>
      <c r="F9" s="174">
        <v>13.9</v>
      </c>
      <c r="G9" s="175"/>
      <c r="H9" s="175"/>
      <c r="I9" s="173">
        <v>50</v>
      </c>
      <c r="J9" s="173">
        <v>140</v>
      </c>
      <c r="K9" s="108">
        <f t="shared" si="15"/>
        <v>190</v>
      </c>
      <c r="L9" s="173">
        <v>89</v>
      </c>
      <c r="M9" s="174">
        <v>139.22999999999999</v>
      </c>
      <c r="N9" s="173">
        <v>23</v>
      </c>
      <c r="O9" s="173">
        <v>155.56</v>
      </c>
      <c r="P9" s="183">
        <f t="shared" si="17"/>
        <v>0.89502442787348924</v>
      </c>
      <c r="Q9" s="173">
        <v>111</v>
      </c>
      <c r="R9" s="173">
        <v>3</v>
      </c>
      <c r="S9" s="9">
        <f>2153288+407081.22</f>
        <v>2560369.2199999997</v>
      </c>
      <c r="T9" s="32">
        <v>2915427.31</v>
      </c>
      <c r="U9" s="9">
        <v>1948230.71</v>
      </c>
      <c r="V9" s="9">
        <v>967196.6</v>
      </c>
      <c r="W9" s="185">
        <f t="shared" si="19"/>
        <v>0.33175123134865603</v>
      </c>
    </row>
    <row r="10" spans="1:220" s="7" customFormat="1">
      <c r="A10" s="141">
        <v>2014</v>
      </c>
      <c r="B10" s="173">
        <v>10</v>
      </c>
      <c r="C10" s="173">
        <v>2.2000000000000002</v>
      </c>
      <c r="D10" s="174">
        <v>12.2</v>
      </c>
      <c r="E10" s="174">
        <v>17.5</v>
      </c>
      <c r="F10" s="174">
        <v>14.3</v>
      </c>
      <c r="G10" s="175"/>
      <c r="H10" s="175"/>
      <c r="I10" s="173">
        <v>57</v>
      </c>
      <c r="J10" s="173">
        <v>162</v>
      </c>
      <c r="K10" s="108">
        <f t="shared" si="15"/>
        <v>219</v>
      </c>
      <c r="L10" s="173">
        <v>97</v>
      </c>
      <c r="M10" s="174">
        <v>153.72</v>
      </c>
      <c r="N10" s="173">
        <v>21</v>
      </c>
      <c r="O10" s="173">
        <v>175.05</v>
      </c>
      <c r="P10" s="183">
        <f t="shared" si="17"/>
        <v>0.87814910025706938</v>
      </c>
      <c r="Q10" s="173">
        <v>106</v>
      </c>
      <c r="R10" s="173">
        <v>8</v>
      </c>
      <c r="S10" s="9">
        <f>2157986.79+197798.57+194801.98</f>
        <v>2550587.34</v>
      </c>
      <c r="T10" s="32">
        <v>2697163.58</v>
      </c>
      <c r="U10" s="9">
        <v>1891149.34</v>
      </c>
      <c r="V10" s="9">
        <f>131508.89+302203.98+358001.92-269888.34</f>
        <v>521826.45</v>
      </c>
      <c r="W10" s="185">
        <f t="shared" si="19"/>
        <v>0.19347230322604311</v>
      </c>
    </row>
    <row r="11" spans="1:220">
      <c r="A11" s="176">
        <v>2013</v>
      </c>
      <c r="B11" s="139">
        <v>13</v>
      </c>
      <c r="C11" s="139">
        <v>5</v>
      </c>
      <c r="D11" s="29">
        <f t="shared" ref="D11:D18" si="21">SUM(B11:C11)</f>
        <v>18</v>
      </c>
      <c r="E11" s="172">
        <f t="shared" ref="E11:E18" si="22">ROUND((O11/B11), 0)</f>
        <v>14</v>
      </c>
      <c r="F11" s="172">
        <f t="shared" ref="F11:F18" si="23">ROUND((O11/D11), 0)</f>
        <v>10</v>
      </c>
      <c r="G11" s="177"/>
      <c r="H11" s="177"/>
      <c r="I11" s="139">
        <v>64</v>
      </c>
      <c r="J11" s="139">
        <v>180</v>
      </c>
      <c r="K11" s="29">
        <f t="shared" ref="K11:K18" si="24">SUM(I11:J11)</f>
        <v>244</v>
      </c>
      <c r="L11" s="139">
        <v>107.34</v>
      </c>
      <c r="M11" s="172">
        <f t="shared" ref="M11:M12" si="25">(I11+L11)</f>
        <v>171.34</v>
      </c>
      <c r="N11" s="139">
        <v>15</v>
      </c>
      <c r="O11" s="178">
        <v>188.35</v>
      </c>
      <c r="P11" s="183">
        <f t="shared" si="17"/>
        <v>0.90968940801698972</v>
      </c>
      <c r="Q11" s="139">
        <v>119</v>
      </c>
      <c r="R11" s="139">
        <v>7</v>
      </c>
      <c r="S11" s="179">
        <v>2541906.04</v>
      </c>
      <c r="T11" s="30">
        <f t="shared" ref="T11:T15" si="26">SUM(U11:V11)</f>
        <v>2815737</v>
      </c>
      <c r="U11" s="179">
        <v>1957039</v>
      </c>
      <c r="V11" s="179">
        <v>858698</v>
      </c>
      <c r="W11" s="185">
        <f t="shared" si="19"/>
        <v>0.30496385138242671</v>
      </c>
    </row>
    <row r="12" spans="1:220">
      <c r="A12" s="176" t="s">
        <v>86</v>
      </c>
      <c r="B12" s="139">
        <v>14</v>
      </c>
      <c r="C12" s="139">
        <v>7</v>
      </c>
      <c r="D12" s="29">
        <f t="shared" si="21"/>
        <v>21</v>
      </c>
      <c r="E12" s="172">
        <f t="shared" si="22"/>
        <v>15</v>
      </c>
      <c r="F12" s="172">
        <f t="shared" si="23"/>
        <v>10</v>
      </c>
      <c r="G12" s="177"/>
      <c r="H12" s="177"/>
      <c r="I12" s="139">
        <v>73</v>
      </c>
      <c r="J12" s="139">
        <v>176</v>
      </c>
      <c r="K12" s="29">
        <f t="shared" si="24"/>
        <v>249</v>
      </c>
      <c r="L12" s="139">
        <v>103.33</v>
      </c>
      <c r="M12" s="172">
        <f t="shared" si="25"/>
        <v>176.32999999999998</v>
      </c>
      <c r="N12" s="139">
        <v>18</v>
      </c>
      <c r="O12" s="178">
        <v>212.71999999999994</v>
      </c>
      <c r="P12" s="183">
        <f t="shared" si="17"/>
        <v>0.82893004889056054</v>
      </c>
      <c r="Q12" s="139">
        <v>72</v>
      </c>
      <c r="R12" s="139">
        <v>7</v>
      </c>
      <c r="S12" s="179">
        <v>3517429.11</v>
      </c>
      <c r="T12" s="30">
        <f t="shared" si="26"/>
        <v>2993522</v>
      </c>
      <c r="U12" s="179">
        <v>2054471</v>
      </c>
      <c r="V12" s="179">
        <v>939051</v>
      </c>
      <c r="W12" s="185">
        <f t="shared" si="19"/>
        <v>0.31369437071115563</v>
      </c>
    </row>
    <row r="13" spans="1:220">
      <c r="A13" s="176" t="s">
        <v>81</v>
      </c>
      <c r="B13" s="139">
        <v>14</v>
      </c>
      <c r="C13" s="139">
        <v>4.5</v>
      </c>
      <c r="D13" s="29">
        <f t="shared" si="21"/>
        <v>18.5</v>
      </c>
      <c r="E13" s="172">
        <f t="shared" si="22"/>
        <v>14</v>
      </c>
      <c r="F13" s="172">
        <f t="shared" si="23"/>
        <v>11</v>
      </c>
      <c r="G13" s="177"/>
      <c r="H13" s="177"/>
      <c r="I13" s="139">
        <v>69</v>
      </c>
      <c r="J13" s="139">
        <v>196</v>
      </c>
      <c r="K13" s="29">
        <f t="shared" si="24"/>
        <v>265</v>
      </c>
      <c r="L13" s="139">
        <v>117</v>
      </c>
      <c r="M13" s="172">
        <f>(I13+L13)</f>
        <v>186</v>
      </c>
      <c r="N13" s="139">
        <v>26</v>
      </c>
      <c r="O13" s="139">
        <v>200</v>
      </c>
      <c r="P13" s="183">
        <f t="shared" si="17"/>
        <v>0.93</v>
      </c>
      <c r="Q13" s="139">
        <v>128</v>
      </c>
      <c r="R13" s="139">
        <v>6</v>
      </c>
      <c r="S13" s="179">
        <v>2060205</v>
      </c>
      <c r="T13" s="30">
        <f t="shared" si="26"/>
        <v>2546747.83</v>
      </c>
      <c r="U13" s="179">
        <v>1906214.14</v>
      </c>
      <c r="V13" s="179">
        <v>640533.68999999994</v>
      </c>
      <c r="W13" s="185">
        <f t="shared" si="19"/>
        <v>0.25151044891633417</v>
      </c>
    </row>
    <row r="14" spans="1:220">
      <c r="A14" s="176" t="s">
        <v>82</v>
      </c>
      <c r="B14" s="139">
        <v>14</v>
      </c>
      <c r="C14" s="139">
        <v>6.5</v>
      </c>
      <c r="D14" s="29">
        <f t="shared" si="21"/>
        <v>20.5</v>
      </c>
      <c r="E14" s="172">
        <f t="shared" si="22"/>
        <v>17</v>
      </c>
      <c r="F14" s="172">
        <f t="shared" si="23"/>
        <v>11</v>
      </c>
      <c r="G14" s="177"/>
      <c r="H14" s="177"/>
      <c r="I14" s="139">
        <v>77</v>
      </c>
      <c r="J14" s="139">
        <v>203</v>
      </c>
      <c r="K14" s="29">
        <f t="shared" si="24"/>
        <v>280</v>
      </c>
      <c r="L14" s="139">
        <v>124.67</v>
      </c>
      <c r="M14" s="172">
        <f>(I14+L14)</f>
        <v>201.67000000000002</v>
      </c>
      <c r="N14" s="139">
        <v>22</v>
      </c>
      <c r="O14" s="139">
        <v>231.01</v>
      </c>
      <c r="P14" s="183">
        <f t="shared" si="17"/>
        <v>0.87299251114670373</v>
      </c>
      <c r="Q14" s="139">
        <v>100</v>
      </c>
      <c r="R14" s="139">
        <v>2</v>
      </c>
      <c r="S14" s="179">
        <v>1817247</v>
      </c>
      <c r="T14" s="30">
        <f t="shared" si="26"/>
        <v>2238667</v>
      </c>
      <c r="U14" s="179">
        <v>1859178</v>
      </c>
      <c r="V14" s="179">
        <v>379489</v>
      </c>
      <c r="W14" s="185">
        <f t="shared" si="19"/>
        <v>0.16951560906557339</v>
      </c>
    </row>
    <row r="15" spans="1:220">
      <c r="A15" s="176" t="s">
        <v>83</v>
      </c>
      <c r="B15" s="139">
        <v>13</v>
      </c>
      <c r="C15" s="139">
        <v>4.5</v>
      </c>
      <c r="D15" s="29">
        <f t="shared" si="21"/>
        <v>17.5</v>
      </c>
      <c r="E15" s="172">
        <f t="shared" si="22"/>
        <v>16</v>
      </c>
      <c r="F15" s="172">
        <f t="shared" si="23"/>
        <v>12</v>
      </c>
      <c r="G15" s="177"/>
      <c r="H15" s="177"/>
      <c r="I15" s="139">
        <v>70</v>
      </c>
      <c r="J15" s="139">
        <v>186</v>
      </c>
      <c r="K15" s="29">
        <f t="shared" si="24"/>
        <v>256</v>
      </c>
      <c r="L15" s="139">
        <v>109.22</v>
      </c>
      <c r="M15" s="172">
        <f>(I15+L15)</f>
        <v>179.22</v>
      </c>
      <c r="N15" s="139">
        <v>25</v>
      </c>
      <c r="O15" s="139">
        <v>208.56</v>
      </c>
      <c r="P15" s="183">
        <f t="shared" si="17"/>
        <v>0.85932105868814723</v>
      </c>
      <c r="Q15" s="139">
        <v>62</v>
      </c>
      <c r="R15" s="139">
        <v>5</v>
      </c>
      <c r="S15" s="179">
        <v>1845469.96</v>
      </c>
      <c r="T15" s="30">
        <f t="shared" si="26"/>
        <v>2122634</v>
      </c>
      <c r="U15" s="179">
        <v>1735327</v>
      </c>
      <c r="V15" s="179">
        <v>387307</v>
      </c>
      <c r="W15" s="185">
        <f t="shared" si="19"/>
        <v>0.182465276632712</v>
      </c>
    </row>
    <row r="16" spans="1:220">
      <c r="A16" s="176" t="s">
        <v>84</v>
      </c>
      <c r="B16" s="139">
        <v>13</v>
      </c>
      <c r="C16" s="139">
        <v>2</v>
      </c>
      <c r="D16" s="29">
        <f t="shared" si="21"/>
        <v>15</v>
      </c>
      <c r="E16" s="172">
        <f t="shared" si="22"/>
        <v>19</v>
      </c>
      <c r="F16" s="172">
        <f t="shared" si="23"/>
        <v>17</v>
      </c>
      <c r="G16" s="177"/>
      <c r="H16" s="177"/>
      <c r="I16" s="139">
        <v>73</v>
      </c>
      <c r="J16" s="139">
        <v>185</v>
      </c>
      <c r="K16" s="29">
        <f t="shared" si="24"/>
        <v>258</v>
      </c>
      <c r="L16" s="139">
        <v>123.95</v>
      </c>
      <c r="M16" s="172">
        <f t="shared" ref="M16:M21" si="27">(I16+L16)</f>
        <v>196.95</v>
      </c>
      <c r="N16" s="139">
        <v>25</v>
      </c>
      <c r="O16" s="139">
        <v>251</v>
      </c>
      <c r="P16" s="183">
        <f t="shared" si="17"/>
        <v>0.7846613545816733</v>
      </c>
      <c r="Q16" s="139">
        <v>73</v>
      </c>
      <c r="R16" s="139">
        <v>33</v>
      </c>
      <c r="S16" s="179">
        <v>1851643.64</v>
      </c>
      <c r="T16" s="30">
        <f t="shared" ref="T16:T21" si="28">SUM(U16:V16)</f>
        <v>2077389</v>
      </c>
      <c r="U16" s="179">
        <v>1735627</v>
      </c>
      <c r="V16" s="179">
        <v>341762</v>
      </c>
      <c r="W16" s="185">
        <f t="shared" si="19"/>
        <v>0.16451516783808906</v>
      </c>
    </row>
    <row r="17" spans="1:220">
      <c r="A17" s="176" t="s">
        <v>95</v>
      </c>
      <c r="B17" s="139">
        <v>10</v>
      </c>
      <c r="C17" s="139">
        <v>2.75</v>
      </c>
      <c r="D17" s="180">
        <f t="shared" si="21"/>
        <v>12.75</v>
      </c>
      <c r="E17" s="172">
        <f t="shared" si="22"/>
        <v>16</v>
      </c>
      <c r="F17" s="172">
        <f t="shared" si="23"/>
        <v>12</v>
      </c>
      <c r="G17" s="177"/>
      <c r="H17" s="177"/>
      <c r="I17" s="139">
        <v>69</v>
      </c>
      <c r="J17" s="139">
        <v>188</v>
      </c>
      <c r="K17" s="180">
        <f t="shared" si="24"/>
        <v>257</v>
      </c>
      <c r="L17" s="139">
        <v>67.98</v>
      </c>
      <c r="M17" s="172">
        <f t="shared" si="27"/>
        <v>136.98000000000002</v>
      </c>
      <c r="N17" s="139">
        <v>13</v>
      </c>
      <c r="O17" s="139">
        <v>159</v>
      </c>
      <c r="P17" s="183">
        <f t="shared" si="17"/>
        <v>0.86150943396226431</v>
      </c>
      <c r="Q17" s="139">
        <v>91</v>
      </c>
      <c r="R17" s="139">
        <v>4</v>
      </c>
      <c r="S17" s="179">
        <v>1683706</v>
      </c>
      <c r="T17" s="30">
        <f t="shared" si="28"/>
        <v>2199702</v>
      </c>
      <c r="U17" s="179">
        <v>1559653</v>
      </c>
      <c r="V17" s="179">
        <v>640049</v>
      </c>
      <c r="W17" s="185">
        <f t="shared" si="19"/>
        <v>0.29097077695069606</v>
      </c>
    </row>
    <row r="18" spans="1:220">
      <c r="A18" s="176" t="s">
        <v>96</v>
      </c>
      <c r="B18" s="139">
        <v>11</v>
      </c>
      <c r="C18" s="139">
        <v>1.5</v>
      </c>
      <c r="D18" s="180">
        <f t="shared" si="21"/>
        <v>12.5</v>
      </c>
      <c r="E18" s="172">
        <f t="shared" si="22"/>
        <v>18</v>
      </c>
      <c r="F18" s="172">
        <f t="shared" si="23"/>
        <v>16</v>
      </c>
      <c r="G18" s="177"/>
      <c r="H18" s="177"/>
      <c r="I18" s="139">
        <v>81</v>
      </c>
      <c r="J18" s="139">
        <v>178</v>
      </c>
      <c r="K18" s="180">
        <f t="shared" si="24"/>
        <v>259</v>
      </c>
      <c r="L18" s="139">
        <v>103</v>
      </c>
      <c r="M18" s="172">
        <f t="shared" si="27"/>
        <v>184</v>
      </c>
      <c r="N18" s="139">
        <v>18</v>
      </c>
      <c r="O18" s="139">
        <v>195</v>
      </c>
      <c r="P18" s="183">
        <f t="shared" si="17"/>
        <v>0.94358974358974357</v>
      </c>
      <c r="Q18" s="139">
        <v>84</v>
      </c>
      <c r="R18" s="139">
        <v>7</v>
      </c>
      <c r="S18" s="179">
        <v>1479412.17</v>
      </c>
      <c r="T18" s="30">
        <f t="shared" si="28"/>
        <v>2361288.87</v>
      </c>
      <c r="U18" s="179">
        <v>1478538.87</v>
      </c>
      <c r="V18" s="179">
        <v>882750</v>
      </c>
      <c r="W18" s="185">
        <f t="shared" si="19"/>
        <v>0.37384244308914222</v>
      </c>
    </row>
    <row r="19" spans="1:220">
      <c r="A19" s="176" t="s">
        <v>97</v>
      </c>
      <c r="B19" s="139">
        <v>11</v>
      </c>
      <c r="C19" s="139">
        <v>0</v>
      </c>
      <c r="D19" s="180">
        <f>SUM(B19:C19)</f>
        <v>11</v>
      </c>
      <c r="E19" s="172">
        <f>ROUND((O19/B19), 0)</f>
        <v>15</v>
      </c>
      <c r="F19" s="172">
        <f>ROUND((O19/D19), 0)</f>
        <v>15</v>
      </c>
      <c r="G19" s="177"/>
      <c r="H19" s="177"/>
      <c r="I19" s="139">
        <v>71</v>
      </c>
      <c r="J19" s="139">
        <v>128</v>
      </c>
      <c r="K19" s="180">
        <f>SUM(I19:J19)</f>
        <v>199</v>
      </c>
      <c r="L19" s="139">
        <v>74</v>
      </c>
      <c r="M19" s="172">
        <f t="shared" si="27"/>
        <v>145</v>
      </c>
      <c r="N19" s="139">
        <v>16</v>
      </c>
      <c r="O19" s="139">
        <v>164</v>
      </c>
      <c r="P19" s="183">
        <f t="shared" si="17"/>
        <v>0.88414634146341464</v>
      </c>
      <c r="Q19" s="139">
        <v>78</v>
      </c>
      <c r="R19" s="139">
        <v>3</v>
      </c>
      <c r="S19" s="179">
        <v>1631386.87</v>
      </c>
      <c r="T19" s="30">
        <f t="shared" si="28"/>
        <v>1693836.81</v>
      </c>
      <c r="U19" s="179">
        <v>1413842.12</v>
      </c>
      <c r="V19" s="179">
        <v>279994.69</v>
      </c>
      <c r="W19" s="185">
        <f t="shared" si="19"/>
        <v>0.16530204583285682</v>
      </c>
    </row>
    <row r="20" spans="1:220">
      <c r="A20" s="176">
        <v>2004</v>
      </c>
      <c r="B20" s="181">
        <v>11</v>
      </c>
      <c r="C20" s="181">
        <v>2</v>
      </c>
      <c r="D20" s="180">
        <f>SUM(B20:C20)</f>
        <v>13</v>
      </c>
      <c r="E20" s="172">
        <f>ROUND((O20/B20), 0)</f>
        <v>12</v>
      </c>
      <c r="F20" s="172">
        <f>ROUND((O20/D20), 0)</f>
        <v>10</v>
      </c>
      <c r="G20" s="177"/>
      <c r="H20" s="177"/>
      <c r="I20" s="181">
        <v>71</v>
      </c>
      <c r="J20" s="181">
        <v>106</v>
      </c>
      <c r="K20" s="180">
        <f>SUM(I20:J20)</f>
        <v>177</v>
      </c>
      <c r="L20" s="181">
        <v>49</v>
      </c>
      <c r="M20" s="172">
        <f t="shared" si="27"/>
        <v>120</v>
      </c>
      <c r="N20" s="181">
        <v>9</v>
      </c>
      <c r="O20" s="181">
        <v>134</v>
      </c>
      <c r="P20" s="183">
        <f t="shared" si="17"/>
        <v>0.89552238805970152</v>
      </c>
      <c r="Q20" s="181">
        <v>75</v>
      </c>
      <c r="R20" s="139">
        <v>4</v>
      </c>
      <c r="S20" s="182">
        <v>1257335</v>
      </c>
      <c r="T20" s="30">
        <f t="shared" si="28"/>
        <v>1568911</v>
      </c>
      <c r="U20" s="182">
        <v>1339013</v>
      </c>
      <c r="V20" s="182">
        <v>229898</v>
      </c>
      <c r="W20" s="185">
        <f t="shared" si="19"/>
        <v>0.14653348724051268</v>
      </c>
    </row>
    <row r="21" spans="1:220">
      <c r="A21" s="176">
        <v>2003</v>
      </c>
      <c r="B21" s="181">
        <v>10</v>
      </c>
      <c r="C21" s="181">
        <v>2</v>
      </c>
      <c r="D21" s="180">
        <f>SUM(B21:C21)</f>
        <v>12</v>
      </c>
      <c r="E21" s="172">
        <f>ROUND((O21/B21), 0)</f>
        <v>14</v>
      </c>
      <c r="F21" s="172">
        <f>ROUND((O21/D21), 0)</f>
        <v>12</v>
      </c>
      <c r="G21" s="177"/>
      <c r="H21" s="177"/>
      <c r="I21" s="181">
        <v>64</v>
      </c>
      <c r="J21" s="181">
        <v>108</v>
      </c>
      <c r="K21" s="180">
        <f>SUM(I21:J21)</f>
        <v>172</v>
      </c>
      <c r="L21" s="181">
        <f>ROUND(49.92, 0)</f>
        <v>50</v>
      </c>
      <c r="M21" s="172">
        <f t="shared" si="27"/>
        <v>114</v>
      </c>
      <c r="N21" s="181">
        <v>11</v>
      </c>
      <c r="O21" s="181">
        <v>139</v>
      </c>
      <c r="P21" s="183">
        <f t="shared" si="17"/>
        <v>0.82014388489208634</v>
      </c>
      <c r="Q21" s="181">
        <v>91</v>
      </c>
      <c r="R21" s="139">
        <v>7</v>
      </c>
      <c r="S21" s="182">
        <v>1608434.27</v>
      </c>
      <c r="T21" s="30">
        <f t="shared" si="28"/>
        <v>1642965</v>
      </c>
      <c r="U21" s="182">
        <v>1396039.06</v>
      </c>
      <c r="V21" s="182">
        <v>246925.94</v>
      </c>
      <c r="W21" s="185">
        <f t="shared" si="19"/>
        <v>0.15029287903272437</v>
      </c>
    </row>
    <row r="22" spans="1:220">
      <c r="A22" s="176">
        <v>2002</v>
      </c>
      <c r="B22" s="181">
        <v>8</v>
      </c>
      <c r="C22" s="181">
        <v>2.5</v>
      </c>
      <c r="D22" s="180">
        <f>SUM(B22:C22)</f>
        <v>10.5</v>
      </c>
      <c r="E22" s="172">
        <f>ROUND((O22/B22), 0)</f>
        <v>16</v>
      </c>
      <c r="F22" s="172">
        <f>ROUND((O22/D22), 0)</f>
        <v>12</v>
      </c>
      <c r="G22" s="177"/>
      <c r="H22" s="177"/>
      <c r="I22" s="181">
        <v>62</v>
      </c>
      <c r="J22" s="181">
        <v>101</v>
      </c>
      <c r="K22" s="180">
        <f>SUM(I22:J22)</f>
        <v>163</v>
      </c>
      <c r="L22" s="181">
        <f>ROUND(49.99,0)</f>
        <v>50</v>
      </c>
      <c r="M22" s="172">
        <f>(I22+L22)</f>
        <v>112</v>
      </c>
      <c r="N22" s="181">
        <v>9</v>
      </c>
      <c r="O22" s="181">
        <f>ROUND(123.99, 0)</f>
        <v>124</v>
      </c>
      <c r="P22" s="183">
        <f t="shared" si="17"/>
        <v>0.90322580645161288</v>
      </c>
      <c r="Q22" s="181">
        <v>79</v>
      </c>
      <c r="R22" s="139">
        <v>9</v>
      </c>
      <c r="S22" s="182">
        <v>1555116.97</v>
      </c>
      <c r="T22" s="30">
        <f>SUM(U22:V22)</f>
        <v>1555116.97</v>
      </c>
      <c r="U22" s="182">
        <v>1292989.1299999999</v>
      </c>
      <c r="V22" s="182">
        <v>262127.84</v>
      </c>
      <c r="W22" s="185">
        <f t="shared" si="19"/>
        <v>0.16855827893126266</v>
      </c>
    </row>
    <row r="23" spans="1:220" s="13" customFormat="1">
      <c r="G23" s="26"/>
      <c r="H23" s="2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c r="HE23" s="186"/>
      <c r="HF23" s="186"/>
      <c r="HG23" s="186"/>
      <c r="HH23" s="186"/>
      <c r="HI23" s="186"/>
      <c r="HJ23" s="186"/>
      <c r="HK23" s="186"/>
      <c r="HL23" s="186"/>
    </row>
    <row r="24" spans="1:220" s="13" customFormat="1">
      <c r="G24" s="26"/>
      <c r="H24" s="2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row>
    <row r="25" spans="1:220" s="13" customFormat="1">
      <c r="G25" s="26"/>
      <c r="H25" s="2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row>
    <row r="26" spans="1:220" s="13" customFormat="1">
      <c r="G26" s="26"/>
      <c r="H26" s="2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6"/>
      <c r="FA26" s="186"/>
      <c r="FB26" s="186"/>
      <c r="FC26" s="186"/>
      <c r="FD26" s="186"/>
      <c r="FE26" s="186"/>
      <c r="FF26" s="186"/>
      <c r="FG26" s="186"/>
      <c r="FH26" s="186"/>
      <c r="FI26" s="186"/>
      <c r="FJ26" s="186"/>
      <c r="FK26" s="186"/>
      <c r="FL26" s="186"/>
      <c r="FM26" s="186"/>
      <c r="FN26" s="186"/>
      <c r="FO26" s="186"/>
      <c r="FP26" s="186"/>
      <c r="FQ26" s="186"/>
      <c r="FR26" s="186"/>
      <c r="FS26" s="186"/>
      <c r="FT26" s="186"/>
      <c r="FU26" s="186"/>
      <c r="FV26" s="186"/>
      <c r="FW26" s="186"/>
      <c r="FX26" s="186"/>
      <c r="FY26" s="186"/>
      <c r="FZ26" s="186"/>
      <c r="GA26" s="186"/>
      <c r="GB26" s="186"/>
      <c r="GC26" s="186"/>
      <c r="GD26" s="186"/>
      <c r="GE26" s="186"/>
      <c r="GF26" s="186"/>
      <c r="GG26" s="186"/>
      <c r="GH26" s="186"/>
      <c r="GI26" s="186"/>
      <c r="GJ26" s="186"/>
      <c r="GK26" s="186"/>
      <c r="GL26" s="186"/>
      <c r="GM26" s="186"/>
      <c r="GN26" s="186"/>
      <c r="GO26" s="186"/>
      <c r="GP26" s="186"/>
      <c r="GQ26" s="186"/>
      <c r="GR26" s="186"/>
      <c r="GS26" s="186"/>
      <c r="GT26" s="186"/>
      <c r="GU26" s="186"/>
      <c r="GV26" s="186"/>
      <c r="GW26" s="186"/>
      <c r="GX26" s="186"/>
      <c r="GY26" s="186"/>
      <c r="GZ26" s="186"/>
      <c r="HA26" s="186"/>
      <c r="HB26" s="186"/>
      <c r="HC26" s="186"/>
      <c r="HD26" s="186"/>
      <c r="HE26" s="186"/>
      <c r="HF26" s="186"/>
      <c r="HG26" s="186"/>
      <c r="HH26" s="186"/>
      <c r="HI26" s="186"/>
      <c r="HJ26" s="186"/>
      <c r="HK26" s="186"/>
      <c r="HL26" s="186"/>
    </row>
    <row r="27" spans="1:220" s="13" customFormat="1">
      <c r="G27" s="26"/>
      <c r="H27" s="2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186"/>
      <c r="EV27" s="186"/>
      <c r="EW27" s="186"/>
      <c r="EX27" s="186"/>
      <c r="EY27" s="186"/>
      <c r="EZ27" s="186"/>
      <c r="FA27" s="186"/>
      <c r="FB27" s="186"/>
      <c r="FC27" s="186"/>
      <c r="FD27" s="186"/>
      <c r="FE27" s="186"/>
      <c r="FF27" s="186"/>
      <c r="FG27" s="186"/>
      <c r="FH27" s="186"/>
      <c r="FI27" s="186"/>
      <c r="FJ27" s="186"/>
      <c r="FK27" s="186"/>
      <c r="FL27" s="186"/>
      <c r="FM27" s="186"/>
      <c r="FN27" s="186"/>
      <c r="FO27" s="186"/>
      <c r="FP27" s="186"/>
      <c r="FQ27" s="186"/>
      <c r="FR27" s="186"/>
      <c r="FS27" s="186"/>
      <c r="FT27" s="186"/>
      <c r="FU27" s="186"/>
      <c r="FV27" s="186"/>
      <c r="FW27" s="186"/>
      <c r="FX27" s="186"/>
      <c r="FY27" s="186"/>
      <c r="FZ27" s="186"/>
      <c r="GA27" s="186"/>
      <c r="GB27" s="186"/>
      <c r="GC27" s="186"/>
      <c r="GD27" s="186"/>
      <c r="GE27" s="186"/>
      <c r="GF27" s="186"/>
      <c r="GG27" s="186"/>
      <c r="GH27" s="186"/>
      <c r="GI27" s="186"/>
      <c r="GJ27" s="186"/>
      <c r="GK27" s="186"/>
      <c r="GL27" s="186"/>
      <c r="GM27" s="186"/>
      <c r="GN27" s="186"/>
      <c r="GO27" s="186"/>
      <c r="GP27" s="186"/>
      <c r="GQ27" s="186"/>
      <c r="GR27" s="186"/>
      <c r="GS27" s="186"/>
      <c r="GT27" s="186"/>
      <c r="GU27" s="186"/>
      <c r="GV27" s="186"/>
      <c r="GW27" s="186"/>
      <c r="GX27" s="186"/>
      <c r="GY27" s="186"/>
      <c r="GZ27" s="186"/>
      <c r="HA27" s="186"/>
      <c r="HB27" s="186"/>
      <c r="HC27" s="186"/>
      <c r="HD27" s="186"/>
      <c r="HE27" s="186"/>
      <c r="HF27" s="186"/>
      <c r="HG27" s="186"/>
      <c r="HH27" s="186"/>
      <c r="HI27" s="186"/>
      <c r="HJ27" s="186"/>
      <c r="HK27" s="186"/>
      <c r="HL27" s="186"/>
    </row>
    <row r="28" spans="1:220" s="13" customFormat="1">
      <c r="G28" s="26"/>
      <c r="H28" s="2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6"/>
      <c r="FA28" s="186"/>
      <c r="FB28" s="186"/>
      <c r="FC28" s="186"/>
      <c r="FD28" s="186"/>
      <c r="FE28" s="186"/>
      <c r="FF28" s="186"/>
      <c r="FG28" s="186"/>
      <c r="FH28" s="186"/>
      <c r="FI28" s="186"/>
      <c r="FJ28" s="186"/>
      <c r="FK28" s="186"/>
      <c r="FL28" s="186"/>
      <c r="FM28" s="186"/>
      <c r="FN28" s="186"/>
      <c r="FO28" s="186"/>
      <c r="FP28" s="186"/>
      <c r="FQ28" s="186"/>
      <c r="FR28" s="186"/>
      <c r="FS28" s="186"/>
      <c r="FT28" s="186"/>
      <c r="FU28" s="186"/>
      <c r="FV28" s="186"/>
      <c r="FW28" s="186"/>
      <c r="FX28" s="186"/>
      <c r="FY28" s="186"/>
      <c r="FZ28" s="186"/>
      <c r="GA28" s="186"/>
      <c r="GB28" s="186"/>
      <c r="GC28" s="186"/>
      <c r="GD28" s="186"/>
      <c r="GE28" s="186"/>
      <c r="GF28" s="186"/>
      <c r="GG28" s="186"/>
      <c r="GH28" s="186"/>
      <c r="GI28" s="186"/>
      <c r="GJ28" s="186"/>
      <c r="GK28" s="186"/>
      <c r="GL28" s="186"/>
      <c r="GM28" s="186"/>
      <c r="GN28" s="186"/>
      <c r="GO28" s="186"/>
      <c r="GP28" s="186"/>
      <c r="GQ28" s="186"/>
      <c r="GR28" s="186"/>
      <c r="GS28" s="186"/>
      <c r="GT28" s="186"/>
      <c r="GU28" s="186"/>
      <c r="GV28" s="186"/>
      <c r="GW28" s="186"/>
      <c r="GX28" s="186"/>
      <c r="GY28" s="186"/>
      <c r="GZ28" s="186"/>
      <c r="HA28" s="186"/>
      <c r="HB28" s="186"/>
      <c r="HC28" s="186"/>
      <c r="HD28" s="186"/>
      <c r="HE28" s="186"/>
      <c r="HF28" s="186"/>
      <c r="HG28" s="186"/>
      <c r="HH28" s="186"/>
      <c r="HI28" s="186"/>
      <c r="HJ28" s="186"/>
      <c r="HK28" s="186"/>
      <c r="HL28" s="186"/>
    </row>
    <row r="29" spans="1:220" s="13" customFormat="1">
      <c r="G29" s="26"/>
      <c r="H29" s="2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c r="EO29" s="186"/>
      <c r="EP29" s="186"/>
      <c r="EQ29" s="186"/>
      <c r="ER29" s="186"/>
      <c r="ES29" s="186"/>
      <c r="ET29" s="186"/>
      <c r="EU29" s="186"/>
      <c r="EV29" s="186"/>
      <c r="EW29" s="186"/>
      <c r="EX29" s="186"/>
      <c r="EY29" s="186"/>
      <c r="EZ29" s="186"/>
      <c r="FA29" s="186"/>
      <c r="FB29" s="186"/>
      <c r="FC29" s="186"/>
      <c r="FD29" s="186"/>
      <c r="FE29" s="186"/>
      <c r="FF29" s="186"/>
      <c r="FG29" s="186"/>
      <c r="FH29" s="186"/>
      <c r="FI29" s="186"/>
      <c r="FJ29" s="186"/>
      <c r="FK29" s="186"/>
      <c r="FL29" s="186"/>
      <c r="FM29" s="186"/>
      <c r="FN29" s="186"/>
      <c r="FO29" s="186"/>
      <c r="FP29" s="186"/>
      <c r="FQ29" s="186"/>
      <c r="FR29" s="186"/>
      <c r="FS29" s="186"/>
      <c r="FT29" s="186"/>
      <c r="FU29" s="186"/>
      <c r="FV29" s="186"/>
      <c r="FW29" s="186"/>
      <c r="FX29" s="186"/>
      <c r="FY29" s="186"/>
      <c r="FZ29" s="186"/>
      <c r="GA29" s="186"/>
      <c r="GB29" s="186"/>
      <c r="GC29" s="186"/>
      <c r="GD29" s="186"/>
      <c r="GE29" s="186"/>
      <c r="GF29" s="186"/>
      <c r="GG29" s="186"/>
      <c r="GH29" s="186"/>
      <c r="GI29" s="186"/>
      <c r="GJ29" s="186"/>
      <c r="GK29" s="186"/>
      <c r="GL29" s="186"/>
      <c r="GM29" s="186"/>
      <c r="GN29" s="186"/>
      <c r="GO29" s="186"/>
      <c r="GP29" s="186"/>
      <c r="GQ29" s="186"/>
      <c r="GR29" s="186"/>
      <c r="GS29" s="186"/>
      <c r="GT29" s="186"/>
      <c r="GU29" s="186"/>
      <c r="GV29" s="186"/>
      <c r="GW29" s="186"/>
      <c r="GX29" s="186"/>
      <c r="GY29" s="186"/>
      <c r="GZ29" s="186"/>
      <c r="HA29" s="186"/>
      <c r="HB29" s="186"/>
      <c r="HC29" s="186"/>
      <c r="HD29" s="186"/>
      <c r="HE29" s="186"/>
      <c r="HF29" s="186"/>
      <c r="HG29" s="186"/>
      <c r="HH29" s="186"/>
      <c r="HI29" s="186"/>
      <c r="HJ29" s="186"/>
      <c r="HK29" s="186"/>
      <c r="HL29" s="186"/>
    </row>
    <row r="30" spans="1:220" s="13" customFormat="1">
      <c r="G30" s="26"/>
      <c r="H30" s="2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c r="EO30" s="186"/>
      <c r="EP30" s="186"/>
      <c r="EQ30" s="186"/>
      <c r="ER30" s="186"/>
      <c r="ES30" s="186"/>
      <c r="ET30" s="186"/>
      <c r="EU30" s="186"/>
      <c r="EV30" s="186"/>
      <c r="EW30" s="186"/>
      <c r="EX30" s="186"/>
      <c r="EY30" s="186"/>
      <c r="EZ30" s="186"/>
      <c r="FA30" s="186"/>
      <c r="FB30" s="186"/>
      <c r="FC30" s="186"/>
      <c r="FD30" s="186"/>
      <c r="FE30" s="186"/>
      <c r="FF30" s="186"/>
      <c r="FG30" s="186"/>
      <c r="FH30" s="186"/>
      <c r="FI30" s="186"/>
      <c r="FJ30" s="186"/>
      <c r="FK30" s="186"/>
      <c r="FL30" s="186"/>
      <c r="FM30" s="186"/>
      <c r="FN30" s="186"/>
      <c r="FO30" s="186"/>
      <c r="FP30" s="186"/>
      <c r="FQ30" s="186"/>
      <c r="FR30" s="186"/>
      <c r="FS30" s="186"/>
      <c r="FT30" s="186"/>
      <c r="FU30" s="186"/>
      <c r="FV30" s="186"/>
      <c r="FW30" s="186"/>
      <c r="FX30" s="186"/>
      <c r="FY30" s="186"/>
      <c r="FZ30" s="186"/>
      <c r="GA30" s="186"/>
      <c r="GB30" s="186"/>
      <c r="GC30" s="186"/>
      <c r="GD30" s="186"/>
      <c r="GE30" s="186"/>
      <c r="GF30" s="186"/>
      <c r="GG30" s="186"/>
      <c r="GH30" s="186"/>
      <c r="GI30" s="186"/>
      <c r="GJ30" s="186"/>
      <c r="GK30" s="186"/>
      <c r="GL30" s="186"/>
      <c r="GM30" s="186"/>
      <c r="GN30" s="186"/>
      <c r="GO30" s="186"/>
      <c r="GP30" s="186"/>
      <c r="GQ30" s="186"/>
      <c r="GR30" s="186"/>
      <c r="GS30" s="186"/>
      <c r="GT30" s="186"/>
      <c r="GU30" s="186"/>
      <c r="GV30" s="186"/>
      <c r="GW30" s="186"/>
      <c r="GX30" s="186"/>
      <c r="GY30" s="186"/>
      <c r="GZ30" s="186"/>
      <c r="HA30" s="186"/>
      <c r="HB30" s="186"/>
      <c r="HC30" s="186"/>
      <c r="HD30" s="186"/>
      <c r="HE30" s="186"/>
      <c r="HF30" s="186"/>
      <c r="HG30" s="186"/>
      <c r="HH30" s="186"/>
      <c r="HI30" s="186"/>
      <c r="HJ30" s="186"/>
      <c r="HK30" s="186"/>
      <c r="HL30" s="186"/>
    </row>
    <row r="31" spans="1:220" s="13" customFormat="1">
      <c r="G31" s="26"/>
      <c r="H31" s="2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c r="EO31" s="186"/>
      <c r="EP31" s="186"/>
      <c r="EQ31" s="186"/>
      <c r="ER31" s="186"/>
      <c r="ES31" s="186"/>
      <c r="ET31" s="186"/>
      <c r="EU31" s="186"/>
      <c r="EV31" s="186"/>
      <c r="EW31" s="186"/>
      <c r="EX31" s="186"/>
      <c r="EY31" s="186"/>
      <c r="EZ31" s="186"/>
      <c r="FA31" s="186"/>
      <c r="FB31" s="186"/>
      <c r="FC31" s="186"/>
      <c r="FD31" s="186"/>
      <c r="FE31" s="186"/>
      <c r="FF31" s="186"/>
      <c r="FG31" s="186"/>
      <c r="FH31" s="186"/>
      <c r="FI31" s="186"/>
      <c r="FJ31" s="186"/>
      <c r="FK31" s="186"/>
      <c r="FL31" s="186"/>
      <c r="FM31" s="186"/>
      <c r="FN31" s="186"/>
      <c r="FO31" s="186"/>
      <c r="FP31" s="186"/>
      <c r="FQ31" s="186"/>
      <c r="FR31" s="186"/>
      <c r="FS31" s="186"/>
      <c r="FT31" s="186"/>
      <c r="FU31" s="186"/>
      <c r="FV31" s="186"/>
      <c r="FW31" s="186"/>
      <c r="FX31" s="186"/>
      <c r="FY31" s="186"/>
      <c r="FZ31" s="186"/>
      <c r="GA31" s="186"/>
      <c r="GB31" s="186"/>
      <c r="GC31" s="186"/>
      <c r="GD31" s="186"/>
      <c r="GE31" s="186"/>
      <c r="GF31" s="186"/>
      <c r="GG31" s="186"/>
      <c r="GH31" s="186"/>
      <c r="GI31" s="186"/>
      <c r="GJ31" s="186"/>
      <c r="GK31" s="186"/>
      <c r="GL31" s="186"/>
      <c r="GM31" s="186"/>
      <c r="GN31" s="186"/>
      <c r="GO31" s="186"/>
      <c r="GP31" s="186"/>
      <c r="GQ31" s="186"/>
      <c r="GR31" s="186"/>
      <c r="GS31" s="186"/>
      <c r="GT31" s="186"/>
      <c r="GU31" s="186"/>
      <c r="GV31" s="186"/>
      <c r="GW31" s="186"/>
      <c r="GX31" s="186"/>
      <c r="GY31" s="186"/>
      <c r="GZ31" s="186"/>
      <c r="HA31" s="186"/>
      <c r="HB31" s="186"/>
      <c r="HC31" s="186"/>
      <c r="HD31" s="186"/>
      <c r="HE31" s="186"/>
      <c r="HF31" s="186"/>
      <c r="HG31" s="186"/>
      <c r="HH31" s="186"/>
      <c r="HI31" s="186"/>
      <c r="HJ31" s="186"/>
      <c r="HK31" s="186"/>
      <c r="HL31" s="186"/>
    </row>
    <row r="32" spans="1:220" s="13" customFormat="1">
      <c r="G32" s="26"/>
      <c r="H32" s="2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186"/>
      <c r="EV32" s="186"/>
      <c r="EW32" s="186"/>
      <c r="EX32" s="186"/>
      <c r="EY32" s="186"/>
      <c r="EZ32" s="186"/>
      <c r="FA32" s="186"/>
      <c r="FB32" s="186"/>
      <c r="FC32" s="186"/>
      <c r="FD32" s="186"/>
      <c r="FE32" s="186"/>
      <c r="FF32" s="186"/>
      <c r="FG32" s="186"/>
      <c r="FH32" s="186"/>
      <c r="FI32" s="186"/>
      <c r="FJ32" s="186"/>
      <c r="FK32" s="186"/>
      <c r="FL32" s="186"/>
      <c r="FM32" s="186"/>
      <c r="FN32" s="186"/>
      <c r="FO32" s="186"/>
      <c r="FP32" s="186"/>
      <c r="FQ32" s="186"/>
      <c r="FR32" s="186"/>
      <c r="FS32" s="186"/>
      <c r="FT32" s="186"/>
      <c r="FU32" s="186"/>
      <c r="FV32" s="186"/>
      <c r="FW32" s="186"/>
      <c r="FX32" s="186"/>
      <c r="FY32" s="186"/>
      <c r="FZ32" s="186"/>
      <c r="GA32" s="186"/>
      <c r="GB32" s="186"/>
      <c r="GC32" s="186"/>
      <c r="GD32" s="186"/>
      <c r="GE32" s="186"/>
      <c r="GF32" s="186"/>
      <c r="GG32" s="186"/>
      <c r="GH32" s="186"/>
      <c r="GI32" s="186"/>
      <c r="GJ32" s="186"/>
      <c r="GK32" s="186"/>
      <c r="GL32" s="186"/>
      <c r="GM32" s="186"/>
      <c r="GN32" s="186"/>
      <c r="GO32" s="186"/>
      <c r="GP32" s="186"/>
      <c r="GQ32" s="186"/>
      <c r="GR32" s="186"/>
      <c r="GS32" s="186"/>
      <c r="GT32" s="186"/>
      <c r="GU32" s="186"/>
      <c r="GV32" s="186"/>
      <c r="GW32" s="186"/>
      <c r="GX32" s="186"/>
      <c r="GY32" s="186"/>
      <c r="GZ32" s="186"/>
      <c r="HA32" s="186"/>
      <c r="HB32" s="186"/>
      <c r="HC32" s="186"/>
      <c r="HD32" s="186"/>
      <c r="HE32" s="186"/>
      <c r="HF32" s="186"/>
      <c r="HG32" s="186"/>
      <c r="HH32" s="186"/>
      <c r="HI32" s="186"/>
      <c r="HJ32" s="186"/>
      <c r="HK32" s="186"/>
      <c r="HL32" s="186"/>
    </row>
    <row r="33" spans="7:220" s="13" customFormat="1">
      <c r="G33" s="26"/>
      <c r="H33" s="2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c r="EO33" s="186"/>
      <c r="EP33" s="186"/>
      <c r="EQ33" s="186"/>
      <c r="ER33" s="186"/>
      <c r="ES33" s="186"/>
      <c r="ET33" s="186"/>
      <c r="EU33" s="186"/>
      <c r="EV33" s="186"/>
      <c r="EW33" s="186"/>
      <c r="EX33" s="186"/>
      <c r="EY33" s="186"/>
      <c r="EZ33" s="186"/>
      <c r="FA33" s="186"/>
      <c r="FB33" s="186"/>
      <c r="FC33" s="186"/>
      <c r="FD33" s="186"/>
      <c r="FE33" s="186"/>
      <c r="FF33" s="186"/>
      <c r="FG33" s="186"/>
      <c r="FH33" s="186"/>
      <c r="FI33" s="186"/>
      <c r="FJ33" s="186"/>
      <c r="FK33" s="186"/>
      <c r="FL33" s="186"/>
      <c r="FM33" s="186"/>
      <c r="FN33" s="186"/>
      <c r="FO33" s="186"/>
      <c r="FP33" s="186"/>
      <c r="FQ33" s="186"/>
      <c r="FR33" s="186"/>
      <c r="FS33" s="186"/>
      <c r="FT33" s="186"/>
      <c r="FU33" s="186"/>
      <c r="FV33" s="186"/>
      <c r="FW33" s="186"/>
      <c r="FX33" s="186"/>
      <c r="FY33" s="186"/>
      <c r="FZ33" s="186"/>
      <c r="GA33" s="186"/>
      <c r="GB33" s="186"/>
      <c r="GC33" s="186"/>
      <c r="GD33" s="186"/>
      <c r="GE33" s="186"/>
      <c r="GF33" s="186"/>
      <c r="GG33" s="186"/>
      <c r="GH33" s="186"/>
      <c r="GI33" s="186"/>
      <c r="GJ33" s="186"/>
      <c r="GK33" s="186"/>
      <c r="GL33" s="186"/>
      <c r="GM33" s="186"/>
      <c r="GN33" s="186"/>
      <c r="GO33" s="186"/>
      <c r="GP33" s="186"/>
      <c r="GQ33" s="186"/>
      <c r="GR33" s="186"/>
      <c r="GS33" s="186"/>
      <c r="GT33" s="186"/>
      <c r="GU33" s="186"/>
      <c r="GV33" s="186"/>
      <c r="GW33" s="186"/>
      <c r="GX33" s="186"/>
      <c r="GY33" s="186"/>
      <c r="GZ33" s="186"/>
      <c r="HA33" s="186"/>
      <c r="HB33" s="186"/>
      <c r="HC33" s="186"/>
      <c r="HD33" s="186"/>
      <c r="HE33" s="186"/>
      <c r="HF33" s="186"/>
      <c r="HG33" s="186"/>
      <c r="HH33" s="186"/>
      <c r="HI33" s="186"/>
      <c r="HJ33" s="186"/>
      <c r="HK33" s="186"/>
      <c r="HL33" s="186"/>
    </row>
    <row r="34" spans="7:220" s="13" customFormat="1">
      <c r="G34" s="26"/>
      <c r="H34" s="2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c r="EO34" s="186"/>
      <c r="EP34" s="186"/>
      <c r="EQ34" s="186"/>
      <c r="ER34" s="186"/>
      <c r="ES34" s="186"/>
      <c r="ET34" s="186"/>
      <c r="EU34" s="186"/>
      <c r="EV34" s="186"/>
      <c r="EW34" s="186"/>
      <c r="EX34" s="186"/>
      <c r="EY34" s="186"/>
      <c r="EZ34" s="186"/>
      <c r="FA34" s="186"/>
      <c r="FB34" s="186"/>
      <c r="FC34" s="186"/>
      <c r="FD34" s="186"/>
      <c r="FE34" s="186"/>
      <c r="FF34" s="186"/>
      <c r="FG34" s="186"/>
      <c r="FH34" s="186"/>
      <c r="FI34" s="186"/>
      <c r="FJ34" s="186"/>
      <c r="FK34" s="186"/>
      <c r="FL34" s="186"/>
      <c r="FM34" s="186"/>
      <c r="FN34" s="186"/>
      <c r="FO34" s="186"/>
      <c r="FP34" s="186"/>
      <c r="FQ34" s="186"/>
      <c r="FR34" s="186"/>
      <c r="FS34" s="186"/>
      <c r="FT34" s="186"/>
      <c r="FU34" s="186"/>
      <c r="FV34" s="186"/>
      <c r="FW34" s="186"/>
      <c r="FX34" s="186"/>
      <c r="FY34" s="186"/>
      <c r="FZ34" s="186"/>
      <c r="GA34" s="186"/>
      <c r="GB34" s="186"/>
      <c r="GC34" s="186"/>
      <c r="GD34" s="186"/>
      <c r="GE34" s="186"/>
      <c r="GF34" s="186"/>
      <c r="GG34" s="186"/>
      <c r="GH34" s="186"/>
      <c r="GI34" s="186"/>
      <c r="GJ34" s="186"/>
      <c r="GK34" s="186"/>
      <c r="GL34" s="186"/>
      <c r="GM34" s="186"/>
      <c r="GN34" s="186"/>
      <c r="GO34" s="186"/>
      <c r="GP34" s="186"/>
      <c r="GQ34" s="186"/>
      <c r="GR34" s="186"/>
      <c r="GS34" s="186"/>
      <c r="GT34" s="186"/>
      <c r="GU34" s="186"/>
      <c r="GV34" s="186"/>
      <c r="GW34" s="186"/>
      <c r="GX34" s="186"/>
      <c r="GY34" s="186"/>
      <c r="GZ34" s="186"/>
      <c r="HA34" s="186"/>
      <c r="HB34" s="186"/>
      <c r="HC34" s="186"/>
      <c r="HD34" s="186"/>
      <c r="HE34" s="186"/>
      <c r="HF34" s="186"/>
      <c r="HG34" s="186"/>
      <c r="HH34" s="186"/>
      <c r="HI34" s="186"/>
      <c r="HJ34" s="186"/>
      <c r="HK34" s="186"/>
      <c r="HL34" s="186"/>
    </row>
  </sheetData>
  <printOptions headings="1" gridLines="1"/>
  <pageMargins left="0.5" right="0.5" top="0.5" bottom="0.5" header="0" footer="0"/>
  <pageSetup paperSize="5" scale="67" orientation="landscape" r:id="rId1"/>
  <ignoredErrors>
    <ignoredError sqref="A12:A19" numberStoredAsText="1"/>
    <ignoredError sqref="D7:D8 D11 D20:D22 K7:K8" formulaRange="1"/>
  </ignoredErrors>
  <legacy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L33"/>
  <sheetViews>
    <sheetView workbookViewId="0">
      <selection activeCell="N29" sqref="N29"/>
    </sheetView>
  </sheetViews>
  <sheetFormatPr defaultColWidth="8.85546875" defaultRowHeight="15"/>
  <cols>
    <col min="1" max="1" width="13.7109375" bestFit="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425781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28515625" bestFit="1" customWidth="1"/>
    <col min="22" max="22" width="10.85546875" bestFit="1" customWidth="1"/>
    <col min="23" max="23" width="12.85546875" bestFit="1" customWidth="1"/>
    <col min="24" max="65" width="8.85546875" style="376"/>
  </cols>
  <sheetData>
    <row r="1" spans="1:220" s="1" customFormat="1" ht="18.75">
      <c r="A1" s="1" t="s">
        <v>65</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3" spans="1:220" s="3" customFormat="1">
      <c r="A3" s="417">
        <v>2021</v>
      </c>
      <c r="B3" s="412">
        <v>47</v>
      </c>
      <c r="C3" s="412">
        <v>8.9600000000000009</v>
      </c>
      <c r="D3" s="437">
        <f>SUM(B3:C3)</f>
        <v>55.96</v>
      </c>
      <c r="E3" s="427">
        <f t="shared" ref="E3" si="0">ROUND((O3/B3), 0)</f>
        <v>28</v>
      </c>
      <c r="F3" s="427">
        <f t="shared" ref="F3" si="1">ROUND((O3/D3), 0)</f>
        <v>24</v>
      </c>
      <c r="G3" s="412">
        <v>47</v>
      </c>
      <c r="H3" s="412">
        <v>8.9600000000000009</v>
      </c>
      <c r="I3" s="412">
        <v>291</v>
      </c>
      <c r="J3" s="412">
        <v>335</v>
      </c>
      <c r="K3" s="437">
        <f t="shared" ref="K3" si="2">SUM(I3:J3)</f>
        <v>626</v>
      </c>
      <c r="L3" s="412">
        <v>221.1</v>
      </c>
      <c r="M3" s="427">
        <f>(I3+L3)</f>
        <v>512.1</v>
      </c>
      <c r="N3" s="412">
        <v>144</v>
      </c>
      <c r="O3" s="412">
        <v>1317.5</v>
      </c>
      <c r="P3" s="438">
        <f t="shared" ref="P3" si="3">M3/O3</f>
        <v>0.38869070208728657</v>
      </c>
      <c r="Q3" s="412">
        <v>251</v>
      </c>
      <c r="R3" s="412">
        <v>157</v>
      </c>
      <c r="S3" s="414">
        <v>16196667</v>
      </c>
      <c r="T3" s="415">
        <f t="shared" ref="T3" si="4">SUM(U3:V3)</f>
        <v>21776759</v>
      </c>
      <c r="U3" s="553">
        <v>13005090</v>
      </c>
      <c r="V3" s="414">
        <v>8771669</v>
      </c>
      <c r="W3" s="335">
        <f t="shared" ref="W3" si="5">V3/T3</f>
        <v>0.40279956259790539</v>
      </c>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row>
    <row r="4" spans="1:220" s="3" customFormat="1">
      <c r="A4" s="417">
        <v>2020</v>
      </c>
      <c r="B4" s="412">
        <v>45</v>
      </c>
      <c r="C4" s="412">
        <v>12.01</v>
      </c>
      <c r="D4" s="437">
        <f>SUM(B4:C4)</f>
        <v>57.01</v>
      </c>
      <c r="E4" s="427">
        <f>ROUND((O4/B4), 0)</f>
        <v>19</v>
      </c>
      <c r="F4" s="427">
        <f>ROUND((O4/D4), 0)</f>
        <v>15</v>
      </c>
      <c r="G4" s="412">
        <v>45</v>
      </c>
      <c r="H4" s="412">
        <v>12.01</v>
      </c>
      <c r="I4" s="412">
        <v>261</v>
      </c>
      <c r="J4" s="412">
        <v>291</v>
      </c>
      <c r="K4" s="437">
        <f t="shared" ref="K4" si="6">SUM(I4:J4)</f>
        <v>552</v>
      </c>
      <c r="L4" s="412">
        <v>194.97</v>
      </c>
      <c r="M4" s="427">
        <f>(I4+L4)</f>
        <v>455.97</v>
      </c>
      <c r="N4" s="412">
        <v>121</v>
      </c>
      <c r="O4" s="412">
        <v>868.2</v>
      </c>
      <c r="P4" s="438">
        <f t="shared" ref="P4" si="7">M4/O4</f>
        <v>0.52519004837595029</v>
      </c>
      <c r="Q4" s="412">
        <v>214</v>
      </c>
      <c r="R4" s="412">
        <v>149</v>
      </c>
      <c r="S4" s="414">
        <v>15341103</v>
      </c>
      <c r="T4" s="415">
        <f>SUM(U4:V4)</f>
        <v>15863432</v>
      </c>
      <c r="U4" s="553">
        <v>12525427</v>
      </c>
      <c r="V4" s="414">
        <v>3338005</v>
      </c>
      <c r="W4" s="335">
        <f t="shared" ref="W4" si="8">V4/T4</f>
        <v>0.21042136405287329</v>
      </c>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6"/>
    </row>
    <row r="5" spans="1:220">
      <c r="A5" s="417">
        <v>2019</v>
      </c>
      <c r="B5" s="412">
        <v>44</v>
      </c>
      <c r="C5" s="412">
        <v>10.88</v>
      </c>
      <c r="D5" s="437">
        <f>SUM(B5:C5)</f>
        <v>54.88</v>
      </c>
      <c r="E5" s="427">
        <f>ROUND((O5/B5), 0)</f>
        <v>16</v>
      </c>
      <c r="F5" s="427">
        <f>ROUND((O5/D5), 0)</f>
        <v>13</v>
      </c>
      <c r="G5" s="412">
        <v>44</v>
      </c>
      <c r="H5" s="412">
        <v>10.88</v>
      </c>
      <c r="I5" s="412">
        <v>225</v>
      </c>
      <c r="J5" s="412">
        <v>264</v>
      </c>
      <c r="K5" s="437">
        <f t="shared" ref="K5" si="9">SUM(I5:J5)</f>
        <v>489</v>
      </c>
      <c r="L5" s="412">
        <f>J5*0.67</f>
        <v>176.88000000000002</v>
      </c>
      <c r="M5" s="427">
        <f>(I5+L5)</f>
        <v>401.88</v>
      </c>
      <c r="N5" s="412">
        <v>102</v>
      </c>
      <c r="O5" s="412">
        <v>722.38</v>
      </c>
      <c r="P5" s="438">
        <f t="shared" ref="P5" si="10">M5/O5</f>
        <v>0.55632769456518727</v>
      </c>
      <c r="Q5" s="412">
        <f>59+174</f>
        <v>233</v>
      </c>
      <c r="R5" s="412">
        <f>(65+2+1+4)+(71+1+1+4)</f>
        <v>149</v>
      </c>
      <c r="S5" s="414">
        <v>13712422</v>
      </c>
      <c r="T5" s="415">
        <f>SUM(U5:V5)</f>
        <v>15819980</v>
      </c>
      <c r="U5" s="453">
        <v>11678257</v>
      </c>
      <c r="V5" s="414">
        <f>2162751+0+1776693+0+202279</f>
        <v>4141723</v>
      </c>
      <c r="W5" s="335">
        <f t="shared" ref="W5" si="11">V5/T5</f>
        <v>0.2618033019005081</v>
      </c>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row>
    <row r="6" spans="1:220" s="17" customFormat="1">
      <c r="A6" s="33">
        <v>2018</v>
      </c>
      <c r="B6" s="20">
        <v>36</v>
      </c>
      <c r="C6" s="20">
        <v>14.75</v>
      </c>
      <c r="D6" s="29">
        <f>SUM(B6:C6)</f>
        <v>50.75</v>
      </c>
      <c r="E6" s="172">
        <f>ROUND((O6/B6), 0)</f>
        <v>18</v>
      </c>
      <c r="F6" s="172">
        <f>ROUND((O6/D6), 0)</f>
        <v>13</v>
      </c>
      <c r="G6" s="20">
        <v>36</v>
      </c>
      <c r="H6" s="20">
        <v>14.75</v>
      </c>
      <c r="I6" s="20">
        <v>129</v>
      </c>
      <c r="J6" s="20">
        <v>337</v>
      </c>
      <c r="K6" s="29">
        <f>SUM(I6:J6)</f>
        <v>466</v>
      </c>
      <c r="L6" s="20">
        <v>226</v>
      </c>
      <c r="M6" s="172">
        <f>(I6+L6)</f>
        <v>355</v>
      </c>
      <c r="N6" s="20">
        <v>85</v>
      </c>
      <c r="O6" s="20">
        <v>661</v>
      </c>
      <c r="P6" s="183">
        <f>M6/O6</f>
        <v>0.53706505295007567</v>
      </c>
      <c r="Q6" s="20">
        <v>242</v>
      </c>
      <c r="R6" s="20">
        <v>70</v>
      </c>
      <c r="S6" s="24">
        <v>12677394</v>
      </c>
      <c r="T6" s="30">
        <f>SUM(U6:V6)</f>
        <v>12809324</v>
      </c>
      <c r="U6" s="24">
        <v>9785721</v>
      </c>
      <c r="V6" s="24">
        <v>3023603</v>
      </c>
      <c r="W6" s="185">
        <f>V6/T6</f>
        <v>0.23604703886013031</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33</v>
      </c>
      <c r="C7" s="20">
        <v>12</v>
      </c>
      <c r="D7" s="34">
        <f>SUM(B7:C7)</f>
        <v>45</v>
      </c>
      <c r="E7" s="34">
        <f>ROUND((O7/B7), 0)</f>
        <v>18</v>
      </c>
      <c r="F7" s="34">
        <f>ROUND((O7/D7), 0)</f>
        <v>14</v>
      </c>
      <c r="G7" s="20">
        <v>33</v>
      </c>
      <c r="H7" s="20">
        <v>12</v>
      </c>
      <c r="I7" s="20">
        <v>155</v>
      </c>
      <c r="J7" s="20">
        <v>334</v>
      </c>
      <c r="K7" s="34">
        <f>SUM(I7:J7)</f>
        <v>489</v>
      </c>
      <c r="L7" s="20">
        <v>224</v>
      </c>
      <c r="M7" s="36">
        <f>(I7+L7)</f>
        <v>379</v>
      </c>
      <c r="N7" s="344">
        <v>66</v>
      </c>
      <c r="O7" s="344">
        <v>608</v>
      </c>
      <c r="P7" s="183">
        <f t="shared" ref="P7:P22" si="12">M7/O7</f>
        <v>0.62335526315789469</v>
      </c>
      <c r="Q7" s="20">
        <v>256</v>
      </c>
      <c r="R7" s="20">
        <v>18</v>
      </c>
      <c r="S7" s="300">
        <v>12453343</v>
      </c>
      <c r="T7" s="35">
        <f>SUM(U7:V7)</f>
        <v>11623290</v>
      </c>
      <c r="U7" s="341">
        <v>7896426</v>
      </c>
      <c r="V7" s="24">
        <v>3726864</v>
      </c>
      <c r="W7" s="185">
        <f t="shared" ref="W7:W22" si="13">V7/T7</f>
        <v>0.32063761637195665</v>
      </c>
    </row>
    <row r="8" spans="1:220" s="78" customFormat="1">
      <c r="A8" s="95">
        <v>2016</v>
      </c>
      <c r="B8" s="63">
        <v>31</v>
      </c>
      <c r="C8" s="63">
        <v>11.5</v>
      </c>
      <c r="D8" s="81">
        <f>B8+C8</f>
        <v>42.5</v>
      </c>
      <c r="E8" s="82">
        <f>ROUND((O8/B8), 0)</f>
        <v>15</v>
      </c>
      <c r="F8" s="82">
        <f>ROUND((O8/D8), 0)</f>
        <v>11</v>
      </c>
      <c r="G8" s="63">
        <v>31</v>
      </c>
      <c r="H8" s="63">
        <v>11.5</v>
      </c>
      <c r="I8" s="63">
        <v>156</v>
      </c>
      <c r="J8" s="63">
        <v>338</v>
      </c>
      <c r="K8" s="81">
        <f>I8+J8</f>
        <v>494</v>
      </c>
      <c r="L8" s="63">
        <v>226</v>
      </c>
      <c r="M8" s="82">
        <f>I8+L8</f>
        <v>382</v>
      </c>
      <c r="N8" s="63">
        <v>81</v>
      </c>
      <c r="O8" s="63">
        <v>474</v>
      </c>
      <c r="P8" s="183">
        <f t="shared" si="12"/>
        <v>0.80590717299578063</v>
      </c>
      <c r="Q8" s="63">
        <v>233</v>
      </c>
      <c r="R8" s="63">
        <v>11</v>
      </c>
      <c r="S8" s="69">
        <v>11314627</v>
      </c>
      <c r="T8" s="85">
        <f>SUM(U8:V8)</f>
        <v>10912527</v>
      </c>
      <c r="U8" s="64">
        <v>7311781</v>
      </c>
      <c r="V8" s="64">
        <v>3600746</v>
      </c>
      <c r="W8" s="185">
        <f t="shared" si="13"/>
        <v>0.32996445277981901</v>
      </c>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row>
    <row r="9" spans="1:220" s="79" customFormat="1">
      <c r="A9" s="90">
        <v>2015</v>
      </c>
      <c r="B9" s="91">
        <v>29</v>
      </c>
      <c r="C9" s="91">
        <v>9</v>
      </c>
      <c r="D9" s="81">
        <v>38</v>
      </c>
      <c r="E9" s="81">
        <v>15.1</v>
      </c>
      <c r="F9" s="81">
        <v>11.6</v>
      </c>
      <c r="G9" s="111"/>
      <c r="H9" s="111"/>
      <c r="I9" s="91">
        <v>169</v>
      </c>
      <c r="J9" s="91">
        <v>310</v>
      </c>
      <c r="K9" s="81">
        <v>479</v>
      </c>
      <c r="L9" s="91">
        <v>207</v>
      </c>
      <c r="M9" s="81">
        <v>376</v>
      </c>
      <c r="N9" s="91">
        <v>75</v>
      </c>
      <c r="O9" s="91">
        <v>439</v>
      </c>
      <c r="P9" s="183">
        <f t="shared" si="12"/>
        <v>0.85649202733485197</v>
      </c>
      <c r="Q9" s="91">
        <v>238</v>
      </c>
      <c r="R9" s="91">
        <v>11</v>
      </c>
      <c r="S9" s="102">
        <v>11079930</v>
      </c>
      <c r="T9" s="103">
        <v>11079930</v>
      </c>
      <c r="U9" s="102">
        <v>8016948</v>
      </c>
      <c r="V9" s="102">
        <v>3062982</v>
      </c>
      <c r="W9" s="185">
        <f t="shared" si="13"/>
        <v>0.27644416526097187</v>
      </c>
    </row>
    <row r="10" spans="1:220" s="71" customFormat="1">
      <c r="A10" s="90">
        <v>2014</v>
      </c>
      <c r="B10" s="91">
        <v>28</v>
      </c>
      <c r="C10" s="91">
        <v>9.5</v>
      </c>
      <c r="D10" s="81">
        <f>B10+C10</f>
        <v>37.5</v>
      </c>
      <c r="E10" s="82">
        <f t="shared" ref="E10:E22" si="14">ROUND((O10/B10), 0)</f>
        <v>16</v>
      </c>
      <c r="F10" s="82">
        <f t="shared" ref="F10:F22" si="15">ROUND((O10/D10), 0)</f>
        <v>12</v>
      </c>
      <c r="G10" s="111"/>
      <c r="H10" s="111"/>
      <c r="I10" s="91">
        <v>138</v>
      </c>
      <c r="J10" s="91">
        <v>346</v>
      </c>
      <c r="K10" s="81">
        <f>I10+J10</f>
        <v>484</v>
      </c>
      <c r="L10" s="91">
        <v>232</v>
      </c>
      <c r="M10" s="82">
        <f>I10+L10</f>
        <v>370</v>
      </c>
      <c r="N10" s="91">
        <v>80</v>
      </c>
      <c r="O10" s="91">
        <v>437</v>
      </c>
      <c r="P10" s="183">
        <f t="shared" si="12"/>
        <v>0.84668192219679639</v>
      </c>
      <c r="Q10" s="91">
        <v>274</v>
      </c>
      <c r="R10" s="91">
        <v>9</v>
      </c>
      <c r="S10" s="92">
        <v>9434810</v>
      </c>
      <c r="T10" s="85">
        <f t="shared" ref="T10:T22" si="16">SUM(U10:V10)</f>
        <v>9434810</v>
      </c>
      <c r="U10" s="92">
        <v>7280952</v>
      </c>
      <c r="V10" s="92">
        <v>2153858</v>
      </c>
      <c r="W10" s="185">
        <f t="shared" si="13"/>
        <v>0.22828843400132065</v>
      </c>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row>
    <row r="11" spans="1:220" s="71" customFormat="1">
      <c r="A11" s="90">
        <v>2013</v>
      </c>
      <c r="B11" s="361">
        <v>26</v>
      </c>
      <c r="C11" s="361">
        <v>12</v>
      </c>
      <c r="D11" s="108">
        <f>B11+C11</f>
        <v>38</v>
      </c>
      <c r="E11" s="109">
        <f t="shared" si="14"/>
        <v>18</v>
      </c>
      <c r="F11" s="109">
        <f t="shared" si="15"/>
        <v>12</v>
      </c>
      <c r="G11" s="113"/>
      <c r="H11" s="113"/>
      <c r="I11" s="361">
        <v>147</v>
      </c>
      <c r="J11" s="361">
        <v>374</v>
      </c>
      <c r="K11" s="108">
        <f>I11+J11</f>
        <v>521</v>
      </c>
      <c r="L11" s="361">
        <v>251</v>
      </c>
      <c r="M11" s="109">
        <f>I11+L11</f>
        <v>398</v>
      </c>
      <c r="N11" s="361">
        <v>82</v>
      </c>
      <c r="O11" s="361">
        <v>462</v>
      </c>
      <c r="P11" s="183">
        <f t="shared" si="12"/>
        <v>0.8614718614718615</v>
      </c>
      <c r="Q11" s="361">
        <v>281</v>
      </c>
      <c r="R11" s="361">
        <v>10</v>
      </c>
      <c r="S11" s="112">
        <v>9919192</v>
      </c>
      <c r="T11" s="110">
        <f t="shared" si="16"/>
        <v>9919192</v>
      </c>
      <c r="U11" s="112">
        <v>6886764</v>
      </c>
      <c r="V11" s="112">
        <v>3032428</v>
      </c>
      <c r="W11" s="185">
        <f t="shared" si="13"/>
        <v>0.30571320728543211</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row>
    <row r="12" spans="1:220" s="71" customFormat="1">
      <c r="A12" s="90">
        <v>2012</v>
      </c>
      <c r="B12" s="361">
        <v>25</v>
      </c>
      <c r="C12" s="361">
        <v>9.75</v>
      </c>
      <c r="D12" s="108">
        <f>B12+C12</f>
        <v>34.75</v>
      </c>
      <c r="E12" s="109">
        <f t="shared" si="14"/>
        <v>19</v>
      </c>
      <c r="F12" s="109">
        <f t="shared" si="15"/>
        <v>14</v>
      </c>
      <c r="G12" s="113"/>
      <c r="H12" s="113"/>
      <c r="I12" s="361">
        <v>183</v>
      </c>
      <c r="J12" s="361">
        <v>415</v>
      </c>
      <c r="K12" s="108">
        <f>I12+J12</f>
        <v>598</v>
      </c>
      <c r="L12" s="361">
        <v>246</v>
      </c>
      <c r="M12" s="109">
        <f>I12+L12</f>
        <v>429</v>
      </c>
      <c r="N12" s="361">
        <v>69</v>
      </c>
      <c r="O12" s="361">
        <v>483</v>
      </c>
      <c r="P12" s="183">
        <f t="shared" si="12"/>
        <v>0.88819875776397517</v>
      </c>
      <c r="Q12" s="361">
        <v>296</v>
      </c>
      <c r="R12" s="361">
        <v>14</v>
      </c>
      <c r="S12" s="112">
        <v>10330570</v>
      </c>
      <c r="T12" s="110">
        <f t="shared" si="16"/>
        <v>10330499</v>
      </c>
      <c r="U12" s="112">
        <v>6499025</v>
      </c>
      <c r="V12" s="112">
        <v>3831474</v>
      </c>
      <c r="W12" s="185">
        <f t="shared" si="13"/>
        <v>0.37088953786259504</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row>
    <row r="13" spans="1:220" s="71" customFormat="1">
      <c r="A13" s="90" t="s">
        <v>81</v>
      </c>
      <c r="B13" s="361">
        <v>26</v>
      </c>
      <c r="C13" s="361">
        <v>10.25</v>
      </c>
      <c r="D13" s="108">
        <f t="shared" ref="D13:D22" si="17">SUM(B13:C13)</f>
        <v>36.25</v>
      </c>
      <c r="E13" s="109">
        <f t="shared" si="14"/>
        <v>20</v>
      </c>
      <c r="F13" s="109">
        <f t="shared" si="15"/>
        <v>14</v>
      </c>
      <c r="G13" s="113"/>
      <c r="H13" s="113"/>
      <c r="I13" s="361">
        <v>197</v>
      </c>
      <c r="J13" s="361">
        <v>421</v>
      </c>
      <c r="K13" s="108">
        <f t="shared" ref="K13:K22" si="18">SUM(I13:J13)</f>
        <v>618</v>
      </c>
      <c r="L13" s="361">
        <v>251.8</v>
      </c>
      <c r="M13" s="109">
        <f t="shared" ref="M13:M22" si="19">(I13+L13)</f>
        <v>448.8</v>
      </c>
      <c r="N13" s="361">
        <v>106</v>
      </c>
      <c r="O13" s="361">
        <v>512.9</v>
      </c>
      <c r="P13" s="183">
        <f t="shared" si="12"/>
        <v>0.87502437122246057</v>
      </c>
      <c r="Q13" s="361">
        <v>308</v>
      </c>
      <c r="R13" s="361">
        <v>26</v>
      </c>
      <c r="S13" s="112">
        <v>10940798</v>
      </c>
      <c r="T13" s="110">
        <f t="shared" si="16"/>
        <v>10940797.879999999</v>
      </c>
      <c r="U13" s="112">
        <v>6674303.1500000004</v>
      </c>
      <c r="V13" s="112">
        <v>4266494.7299999995</v>
      </c>
      <c r="W13" s="185">
        <f t="shared" si="13"/>
        <v>0.3899619366700155</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row>
    <row r="14" spans="1:220" s="71" customFormat="1">
      <c r="A14" s="90" t="s">
        <v>82</v>
      </c>
      <c r="B14" s="361">
        <v>27</v>
      </c>
      <c r="C14" s="361">
        <v>10.5</v>
      </c>
      <c r="D14" s="108">
        <f t="shared" si="17"/>
        <v>37.5</v>
      </c>
      <c r="E14" s="109">
        <f t="shared" si="14"/>
        <v>18</v>
      </c>
      <c r="F14" s="109">
        <f t="shared" si="15"/>
        <v>13</v>
      </c>
      <c r="G14" s="113"/>
      <c r="H14" s="113"/>
      <c r="I14" s="361">
        <v>190</v>
      </c>
      <c r="J14" s="361">
        <v>427</v>
      </c>
      <c r="K14" s="108">
        <f t="shared" si="18"/>
        <v>617</v>
      </c>
      <c r="L14" s="361">
        <v>224.4</v>
      </c>
      <c r="M14" s="109">
        <f t="shared" si="19"/>
        <v>414.4</v>
      </c>
      <c r="N14" s="361">
        <v>102</v>
      </c>
      <c r="O14" s="361">
        <v>480.9</v>
      </c>
      <c r="P14" s="183">
        <f t="shared" si="12"/>
        <v>0.86171761280931591</v>
      </c>
      <c r="Q14" s="361">
        <v>240</v>
      </c>
      <c r="R14" s="361">
        <v>14</v>
      </c>
      <c r="S14" s="112">
        <v>10645839.52</v>
      </c>
      <c r="T14" s="110">
        <f t="shared" si="16"/>
        <v>10645840</v>
      </c>
      <c r="U14" s="112">
        <v>6424066</v>
      </c>
      <c r="V14" s="112">
        <v>4221774</v>
      </c>
      <c r="W14" s="185">
        <f t="shared" si="13"/>
        <v>0.39656560684736947</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row>
    <row r="15" spans="1:220" s="71" customFormat="1">
      <c r="A15" s="90" t="s">
        <v>83</v>
      </c>
      <c r="B15" s="361">
        <v>26</v>
      </c>
      <c r="C15" s="361">
        <v>10.5</v>
      </c>
      <c r="D15" s="108">
        <f t="shared" si="17"/>
        <v>36.5</v>
      </c>
      <c r="E15" s="109">
        <f t="shared" si="14"/>
        <v>21</v>
      </c>
      <c r="F15" s="109">
        <f t="shared" si="15"/>
        <v>15</v>
      </c>
      <c r="G15" s="113"/>
      <c r="H15" s="113"/>
      <c r="I15" s="361">
        <v>258</v>
      </c>
      <c r="J15" s="361">
        <v>284</v>
      </c>
      <c r="K15" s="108">
        <f t="shared" si="18"/>
        <v>542</v>
      </c>
      <c r="L15" s="361">
        <v>114</v>
      </c>
      <c r="M15" s="109">
        <f t="shared" si="19"/>
        <v>372</v>
      </c>
      <c r="N15" s="361">
        <v>93</v>
      </c>
      <c r="O15" s="361">
        <v>535</v>
      </c>
      <c r="P15" s="183">
        <f t="shared" si="12"/>
        <v>0.69532710280373833</v>
      </c>
      <c r="Q15" s="361">
        <v>256</v>
      </c>
      <c r="R15" s="361">
        <v>13</v>
      </c>
      <c r="S15" s="112">
        <v>9973324</v>
      </c>
      <c r="T15" s="110">
        <f t="shared" si="16"/>
        <v>9973324</v>
      </c>
      <c r="U15" s="112">
        <v>5831128</v>
      </c>
      <c r="V15" s="112">
        <v>4142196</v>
      </c>
      <c r="W15" s="185">
        <f t="shared" si="13"/>
        <v>0.41532752771292702</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row>
    <row r="16" spans="1:220" s="71" customFormat="1">
      <c r="A16" s="90" t="s">
        <v>84</v>
      </c>
      <c r="B16" s="361">
        <v>26</v>
      </c>
      <c r="C16" s="361">
        <v>8.25</v>
      </c>
      <c r="D16" s="108">
        <f t="shared" si="17"/>
        <v>34.25</v>
      </c>
      <c r="E16" s="109">
        <f t="shared" si="14"/>
        <v>20</v>
      </c>
      <c r="F16" s="109">
        <f t="shared" si="15"/>
        <v>15</v>
      </c>
      <c r="G16" s="113"/>
      <c r="H16" s="113"/>
      <c r="I16" s="361">
        <v>227</v>
      </c>
      <c r="J16" s="361">
        <v>289</v>
      </c>
      <c r="K16" s="108">
        <f t="shared" si="18"/>
        <v>516</v>
      </c>
      <c r="L16" s="361">
        <v>115</v>
      </c>
      <c r="M16" s="109">
        <f t="shared" si="19"/>
        <v>342</v>
      </c>
      <c r="N16" s="361">
        <v>74</v>
      </c>
      <c r="O16" s="361">
        <v>507</v>
      </c>
      <c r="P16" s="183">
        <f t="shared" si="12"/>
        <v>0.67455621301775148</v>
      </c>
      <c r="Q16" s="361">
        <v>204</v>
      </c>
      <c r="R16" s="361">
        <v>16</v>
      </c>
      <c r="S16" s="112">
        <v>8411643</v>
      </c>
      <c r="T16" s="110">
        <f t="shared" si="16"/>
        <v>8411643</v>
      </c>
      <c r="U16" s="112">
        <v>5127614</v>
      </c>
      <c r="V16" s="112">
        <v>3284029</v>
      </c>
      <c r="W16" s="185">
        <f t="shared" si="13"/>
        <v>0.3904146906852799</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row>
    <row r="17" spans="1:65" s="71" customFormat="1">
      <c r="A17" s="90">
        <v>2007</v>
      </c>
      <c r="B17" s="361">
        <v>24</v>
      </c>
      <c r="C17" s="361">
        <v>8.5</v>
      </c>
      <c r="D17" s="194">
        <f t="shared" si="17"/>
        <v>32.5</v>
      </c>
      <c r="E17" s="109">
        <f t="shared" si="14"/>
        <v>16</v>
      </c>
      <c r="F17" s="109">
        <f t="shared" si="15"/>
        <v>12</v>
      </c>
      <c r="G17" s="113"/>
      <c r="H17" s="113"/>
      <c r="I17" s="361">
        <v>214</v>
      </c>
      <c r="J17" s="361">
        <v>247</v>
      </c>
      <c r="K17" s="194">
        <f t="shared" si="18"/>
        <v>461</v>
      </c>
      <c r="L17" s="361">
        <v>103</v>
      </c>
      <c r="M17" s="109">
        <f t="shared" si="19"/>
        <v>317</v>
      </c>
      <c r="N17" s="361">
        <v>59</v>
      </c>
      <c r="O17" s="361">
        <v>380</v>
      </c>
      <c r="P17" s="183">
        <f t="shared" si="12"/>
        <v>0.83421052631578951</v>
      </c>
      <c r="Q17" s="361">
        <v>234</v>
      </c>
      <c r="R17" s="361">
        <v>9</v>
      </c>
      <c r="S17" s="192">
        <v>8358147</v>
      </c>
      <c r="T17" s="110">
        <f t="shared" si="16"/>
        <v>8358147</v>
      </c>
      <c r="U17" s="192">
        <v>5039096</v>
      </c>
      <c r="V17" s="192">
        <v>3319051</v>
      </c>
      <c r="W17" s="185">
        <f t="shared" si="13"/>
        <v>0.39710368817394576</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row>
    <row r="18" spans="1:65" s="71" customFormat="1">
      <c r="A18" s="90">
        <v>2006</v>
      </c>
      <c r="B18" s="361">
        <v>23</v>
      </c>
      <c r="C18" s="361">
        <v>6.5</v>
      </c>
      <c r="D18" s="194">
        <f t="shared" si="17"/>
        <v>29.5</v>
      </c>
      <c r="E18" s="109">
        <f t="shared" si="14"/>
        <v>16</v>
      </c>
      <c r="F18" s="109">
        <f t="shared" si="15"/>
        <v>12</v>
      </c>
      <c r="G18" s="113"/>
      <c r="H18" s="113"/>
      <c r="I18" s="361">
        <v>218</v>
      </c>
      <c r="J18" s="361">
        <v>247</v>
      </c>
      <c r="K18" s="194">
        <f t="shared" si="18"/>
        <v>465</v>
      </c>
      <c r="L18" s="361">
        <v>82</v>
      </c>
      <c r="M18" s="109">
        <f t="shared" si="19"/>
        <v>300</v>
      </c>
      <c r="N18" s="361">
        <v>56</v>
      </c>
      <c r="O18" s="361">
        <v>365</v>
      </c>
      <c r="P18" s="183">
        <f t="shared" si="12"/>
        <v>0.82191780821917804</v>
      </c>
      <c r="Q18" s="361">
        <v>174</v>
      </c>
      <c r="R18" s="361">
        <v>6</v>
      </c>
      <c r="S18" s="192">
        <v>7845815</v>
      </c>
      <c r="T18" s="110">
        <f t="shared" si="16"/>
        <v>7845815</v>
      </c>
      <c r="U18" s="192">
        <v>4726973</v>
      </c>
      <c r="V18" s="192">
        <v>3118842</v>
      </c>
      <c r="W18" s="185">
        <f t="shared" si="13"/>
        <v>0.39751663785087976</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row>
    <row r="19" spans="1:65" s="71" customFormat="1">
      <c r="A19" s="90">
        <v>2005</v>
      </c>
      <c r="B19" s="361">
        <v>22</v>
      </c>
      <c r="C19" s="361">
        <v>7.5</v>
      </c>
      <c r="D19" s="194">
        <f t="shared" si="17"/>
        <v>29.5</v>
      </c>
      <c r="E19" s="109">
        <f t="shared" si="14"/>
        <v>21</v>
      </c>
      <c r="F19" s="109">
        <f t="shared" si="15"/>
        <v>16</v>
      </c>
      <c r="G19" s="113"/>
      <c r="H19" s="113"/>
      <c r="I19" s="361">
        <v>310</v>
      </c>
      <c r="J19" s="361">
        <v>121</v>
      </c>
      <c r="K19" s="194">
        <f t="shared" si="18"/>
        <v>431</v>
      </c>
      <c r="L19" s="361">
        <v>40</v>
      </c>
      <c r="M19" s="109">
        <f t="shared" si="19"/>
        <v>350</v>
      </c>
      <c r="N19" s="361">
        <v>54</v>
      </c>
      <c r="O19" s="361">
        <v>464</v>
      </c>
      <c r="P19" s="183">
        <f t="shared" si="12"/>
        <v>0.75431034482758619</v>
      </c>
      <c r="Q19" s="361">
        <v>192</v>
      </c>
      <c r="R19" s="361">
        <v>7</v>
      </c>
      <c r="S19" s="192">
        <v>7486029</v>
      </c>
      <c r="T19" s="110">
        <f t="shared" si="16"/>
        <v>7486029</v>
      </c>
      <c r="U19" s="192">
        <v>4760436</v>
      </c>
      <c r="V19" s="192">
        <v>2725593</v>
      </c>
      <c r="W19" s="185">
        <f t="shared" si="13"/>
        <v>0.36409062802187914</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row>
    <row r="20" spans="1:65" s="71" customFormat="1">
      <c r="A20" s="90">
        <v>2004</v>
      </c>
      <c r="B20" s="195">
        <v>20</v>
      </c>
      <c r="C20" s="195">
        <v>6</v>
      </c>
      <c r="D20" s="194">
        <f t="shared" si="17"/>
        <v>26</v>
      </c>
      <c r="E20" s="109">
        <f t="shared" si="14"/>
        <v>17</v>
      </c>
      <c r="F20" s="109">
        <f t="shared" si="15"/>
        <v>13</v>
      </c>
      <c r="G20" s="113"/>
      <c r="H20" s="113"/>
      <c r="I20" s="195">
        <v>131</v>
      </c>
      <c r="J20" s="195">
        <v>272</v>
      </c>
      <c r="K20" s="194">
        <f t="shared" si="18"/>
        <v>403</v>
      </c>
      <c r="L20" s="195">
        <v>155.24</v>
      </c>
      <c r="M20" s="109">
        <f t="shared" si="19"/>
        <v>286.24</v>
      </c>
      <c r="N20" s="195">
        <v>50</v>
      </c>
      <c r="O20" s="195">
        <v>332.75</v>
      </c>
      <c r="P20" s="183">
        <f t="shared" si="12"/>
        <v>0.86022539444027046</v>
      </c>
      <c r="Q20" s="195">
        <v>214</v>
      </c>
      <c r="R20" s="361">
        <v>3</v>
      </c>
      <c r="S20" s="192">
        <v>7155982</v>
      </c>
      <c r="T20" s="110">
        <f t="shared" si="16"/>
        <v>7155982</v>
      </c>
      <c r="U20" s="192">
        <v>4763725</v>
      </c>
      <c r="V20" s="192">
        <v>2392257</v>
      </c>
      <c r="W20" s="185">
        <f t="shared" si="13"/>
        <v>0.33430170729887249</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row>
    <row r="21" spans="1:65" s="71" customFormat="1">
      <c r="A21" s="90">
        <v>2003</v>
      </c>
      <c r="B21" s="195">
        <v>18</v>
      </c>
      <c r="C21" s="195">
        <v>8</v>
      </c>
      <c r="D21" s="194">
        <f t="shared" si="17"/>
        <v>26</v>
      </c>
      <c r="E21" s="109">
        <f t="shared" si="14"/>
        <v>24</v>
      </c>
      <c r="F21" s="109">
        <f t="shared" si="15"/>
        <v>16</v>
      </c>
      <c r="G21" s="113"/>
      <c r="H21" s="113"/>
      <c r="I21" s="195">
        <v>159</v>
      </c>
      <c r="J21" s="195">
        <v>293</v>
      </c>
      <c r="K21" s="194">
        <f t="shared" si="18"/>
        <v>452</v>
      </c>
      <c r="L21" s="195">
        <v>173</v>
      </c>
      <c r="M21" s="109">
        <f t="shared" si="19"/>
        <v>332</v>
      </c>
      <c r="N21" s="195">
        <v>63</v>
      </c>
      <c r="O21" s="195">
        <v>426</v>
      </c>
      <c r="P21" s="183">
        <f t="shared" si="12"/>
        <v>0.77934272300469487</v>
      </c>
      <c r="Q21" s="195">
        <v>217</v>
      </c>
      <c r="R21" s="361">
        <v>7</v>
      </c>
      <c r="S21" s="192">
        <v>7270481</v>
      </c>
      <c r="T21" s="110">
        <f t="shared" si="16"/>
        <v>7270481</v>
      </c>
      <c r="U21" s="192">
        <v>4199488</v>
      </c>
      <c r="V21" s="192">
        <v>3070993</v>
      </c>
      <c r="W21" s="185">
        <f t="shared" si="13"/>
        <v>0.42239199854865173</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row>
    <row r="22" spans="1:65" s="71" customFormat="1">
      <c r="A22" s="90">
        <v>2002</v>
      </c>
      <c r="B22" s="195">
        <v>18</v>
      </c>
      <c r="C22" s="195">
        <v>7.5</v>
      </c>
      <c r="D22" s="194">
        <f t="shared" si="17"/>
        <v>25.5</v>
      </c>
      <c r="E22" s="109">
        <f t="shared" si="14"/>
        <v>22</v>
      </c>
      <c r="F22" s="109">
        <f t="shared" si="15"/>
        <v>15</v>
      </c>
      <c r="G22" s="113"/>
      <c r="H22" s="113"/>
      <c r="I22" s="195">
        <v>209</v>
      </c>
      <c r="J22" s="195">
        <v>248</v>
      </c>
      <c r="K22" s="194">
        <f t="shared" si="18"/>
        <v>457</v>
      </c>
      <c r="L22" s="195">
        <f>ROUND(142.72, 0)</f>
        <v>143</v>
      </c>
      <c r="M22" s="109">
        <f t="shared" si="19"/>
        <v>352</v>
      </c>
      <c r="N22" s="195">
        <v>48</v>
      </c>
      <c r="O22" s="195">
        <f>ROUND(395.21, 0)</f>
        <v>395</v>
      </c>
      <c r="P22" s="183">
        <f t="shared" si="12"/>
        <v>0.89113924050632909</v>
      </c>
      <c r="Q22" s="195">
        <v>214</v>
      </c>
      <c r="R22" s="361">
        <v>4</v>
      </c>
      <c r="S22" s="192">
        <v>7052774</v>
      </c>
      <c r="T22" s="110">
        <f t="shared" si="16"/>
        <v>6053210</v>
      </c>
      <c r="U22" s="192">
        <v>2860644</v>
      </c>
      <c r="V22" s="192">
        <v>3192566</v>
      </c>
      <c r="W22" s="185">
        <f t="shared" si="13"/>
        <v>0.52741702336446283</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row>
    <row r="23" spans="1:65" s="71" customFormat="1">
      <c r="A23" s="683" t="s">
        <v>126</v>
      </c>
      <c r="B23" s="683"/>
      <c r="C23" s="683"/>
      <c r="D23" s="683"/>
      <c r="E23" s="683"/>
      <c r="F23" s="683"/>
      <c r="G23" s="683"/>
      <c r="H23" s="683"/>
      <c r="I23" s="683"/>
      <c r="J23" s="683"/>
      <c r="K23" s="683"/>
      <c r="L23" s="683"/>
      <c r="M23" s="683"/>
      <c r="N23" s="683"/>
      <c r="O23" s="683"/>
      <c r="P23" s="683"/>
      <c r="Q23" s="683"/>
      <c r="R23" s="683"/>
      <c r="S23" s="683"/>
      <c r="T23" s="683"/>
      <c r="U23" s="683"/>
      <c r="V23" s="683"/>
      <c r="W23" s="683"/>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row>
    <row r="24" spans="1:65" s="71" customFormat="1">
      <c r="A24" s="683" t="s">
        <v>127</v>
      </c>
      <c r="B24" s="683"/>
      <c r="C24" s="683"/>
      <c r="D24" s="683"/>
      <c r="E24" s="683"/>
      <c r="F24" s="683"/>
      <c r="G24" s="683"/>
      <c r="H24" s="683"/>
      <c r="I24" s="683"/>
      <c r="J24" s="683"/>
      <c r="K24" s="683"/>
      <c r="L24" s="683"/>
      <c r="M24" s="683"/>
      <c r="N24" s="683"/>
      <c r="O24" s="683"/>
      <c r="P24" s="683"/>
      <c r="Q24" s="683"/>
      <c r="R24" s="683"/>
      <c r="S24" s="683"/>
      <c r="T24" s="683"/>
      <c r="U24" s="683"/>
      <c r="V24" s="683"/>
      <c r="W24" s="683"/>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row>
    <row r="25" spans="1:65" s="13" customFormat="1">
      <c r="A25" s="655" t="s">
        <v>145</v>
      </c>
      <c r="B25" s="667"/>
      <c r="C25" s="667"/>
      <c r="D25" s="667"/>
      <c r="E25" s="667"/>
      <c r="F25" s="667"/>
      <c r="G25" s="667"/>
      <c r="H25" s="667"/>
      <c r="I25" s="667"/>
      <c r="J25" s="667"/>
      <c r="K25" s="667"/>
      <c r="L25" s="667"/>
      <c r="M25" s="667"/>
      <c r="N25" s="667"/>
      <c r="O25" s="667"/>
      <c r="P25" s="667"/>
      <c r="Q25" s="667"/>
      <c r="R25" s="667"/>
      <c r="S25" s="667"/>
      <c r="T25" s="667"/>
      <c r="U25" s="667"/>
      <c r="V25" s="667"/>
      <c r="W25" s="667"/>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row>
    <row r="26" spans="1:65" s="13" customFormat="1">
      <c r="A26" s="655" t="s">
        <v>146</v>
      </c>
      <c r="B26" s="667"/>
      <c r="C26" s="667"/>
      <c r="D26" s="667"/>
      <c r="E26" s="667"/>
      <c r="F26" s="667"/>
      <c r="G26" s="667"/>
      <c r="H26" s="667"/>
      <c r="I26" s="667"/>
      <c r="J26" s="667"/>
      <c r="K26" s="667"/>
      <c r="L26" s="667"/>
      <c r="M26" s="667"/>
      <c r="N26" s="667"/>
      <c r="O26" s="667"/>
      <c r="P26" s="667"/>
      <c r="Q26" s="667"/>
      <c r="R26" s="667"/>
      <c r="S26" s="667"/>
      <c r="T26" s="667"/>
      <c r="U26" s="667"/>
      <c r="V26" s="667"/>
      <c r="W26" s="667"/>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row>
    <row r="27" spans="1:65"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row>
    <row r="28" spans="1:65"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row>
    <row r="29" spans="1:65"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row>
    <row r="30" spans="1:65"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row>
    <row r="31" spans="1:65"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row>
    <row r="32" spans="1:65"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row>
    <row r="33" spans="24:65"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row>
  </sheetData>
  <mergeCells count="4">
    <mergeCell ref="A23:W23"/>
    <mergeCell ref="A24:W24"/>
    <mergeCell ref="A25:W25"/>
    <mergeCell ref="A26:W26"/>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L36"/>
  <sheetViews>
    <sheetView workbookViewId="0">
      <selection activeCell="U30" sqref="U30"/>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425781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2" width="13.85546875" bestFit="1" customWidth="1"/>
    <col min="23" max="23" width="12.85546875" bestFit="1" customWidth="1"/>
    <col min="24" max="65" width="8.85546875" style="376"/>
  </cols>
  <sheetData>
    <row r="1" spans="1:220" s="1" customFormat="1" ht="18.75">
      <c r="A1" s="1" t="s">
        <v>139</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41" customFormat="1">
      <c r="A3" s="417">
        <v>2021</v>
      </c>
      <c r="B3" s="412">
        <v>138.82</v>
      </c>
      <c r="C3" s="412">
        <v>15</v>
      </c>
      <c r="D3" s="410">
        <f>B3+C3</f>
        <v>153.82</v>
      </c>
      <c r="E3" s="411">
        <v>20</v>
      </c>
      <c r="F3" s="411">
        <v>18</v>
      </c>
      <c r="G3" s="412">
        <v>12</v>
      </c>
      <c r="H3" s="412">
        <v>15</v>
      </c>
      <c r="I3" s="412">
        <v>85</v>
      </c>
      <c r="J3" s="412">
        <v>21</v>
      </c>
      <c r="K3" s="410">
        <v>106</v>
      </c>
      <c r="L3" s="412">
        <v>12.33</v>
      </c>
      <c r="M3" s="411">
        <v>99</v>
      </c>
      <c r="N3" s="412">
        <v>24</v>
      </c>
      <c r="O3" s="412">
        <v>3308.72</v>
      </c>
      <c r="P3" s="413">
        <f>M3/O3</f>
        <v>2.992093619284799E-2</v>
      </c>
      <c r="Q3" s="412">
        <v>55</v>
      </c>
      <c r="R3" s="412">
        <v>1045</v>
      </c>
      <c r="S3" s="517">
        <v>79793580</v>
      </c>
      <c r="T3" s="415">
        <v>79793580</v>
      </c>
      <c r="U3" s="651">
        <v>17925555</v>
      </c>
      <c r="V3" s="651">
        <v>61868025</v>
      </c>
      <c r="W3" s="335">
        <f>V3/T3</f>
        <v>0.77535091168988779</v>
      </c>
    </row>
    <row r="4" spans="1:220" s="441" customFormat="1">
      <c r="A4" s="417">
        <v>2020</v>
      </c>
      <c r="B4" s="412">
        <v>130</v>
      </c>
      <c r="C4" s="412">
        <v>15</v>
      </c>
      <c r="D4" s="410">
        <f>SUM(B4:C4)</f>
        <v>145</v>
      </c>
      <c r="E4" s="411">
        <f>ROUND((O4/B4), 0)</f>
        <v>20</v>
      </c>
      <c r="F4" s="411">
        <f>ROUND((O4/D4), 0)</f>
        <v>18</v>
      </c>
      <c r="G4" s="412">
        <v>12</v>
      </c>
      <c r="H4" s="412">
        <v>15</v>
      </c>
      <c r="I4" s="412">
        <v>85</v>
      </c>
      <c r="J4" s="412">
        <v>21</v>
      </c>
      <c r="K4" s="410">
        <f t="shared" ref="K4" si="0">SUM(I4:J4)</f>
        <v>106</v>
      </c>
      <c r="L4" s="412">
        <v>13.53</v>
      </c>
      <c r="M4" s="411">
        <f>(I4+L4)</f>
        <v>98.53</v>
      </c>
      <c r="N4" s="412">
        <v>14</v>
      </c>
      <c r="O4" s="412">
        <v>2550.5</v>
      </c>
      <c r="P4" s="413">
        <f t="shared" ref="P4" si="1">M4/O4</f>
        <v>3.8631640854734368E-2</v>
      </c>
      <c r="Q4" s="412">
        <v>55</v>
      </c>
      <c r="R4" s="412">
        <v>1033</v>
      </c>
      <c r="S4" s="517">
        <v>79793580</v>
      </c>
      <c r="T4" s="415">
        <f>SUM(U4:V4)</f>
        <v>79793580</v>
      </c>
      <c r="U4" s="650">
        <v>79793580</v>
      </c>
      <c r="V4" s="650">
        <v>0</v>
      </c>
      <c r="W4" s="335">
        <f t="shared" ref="W4" si="2">V4/T4</f>
        <v>0</v>
      </c>
    </row>
    <row r="5" spans="1:220">
      <c r="A5" s="11">
        <v>2019</v>
      </c>
      <c r="B5" s="409">
        <v>146</v>
      </c>
      <c r="C5" s="409">
        <v>14</v>
      </c>
      <c r="D5" s="410">
        <f>SUM(B5:C5)</f>
        <v>160</v>
      </c>
      <c r="E5" s="411">
        <f>ROUND((O5/B5), 0)</f>
        <v>19</v>
      </c>
      <c r="F5" s="411">
        <f>ROUND((O5/D5), 0)</f>
        <v>17</v>
      </c>
      <c r="G5" s="409">
        <v>14</v>
      </c>
      <c r="H5" s="409">
        <v>13</v>
      </c>
      <c r="I5" s="409">
        <v>77</v>
      </c>
      <c r="J5" s="409">
        <v>27</v>
      </c>
      <c r="K5" s="410">
        <f t="shared" ref="K5" si="3">SUM(I5:J5)</f>
        <v>104</v>
      </c>
      <c r="L5" s="409">
        <v>16.18</v>
      </c>
      <c r="M5" s="411">
        <f>(I5+L5)</f>
        <v>93.18</v>
      </c>
      <c r="N5" s="409">
        <v>11</v>
      </c>
      <c r="O5" s="409">
        <v>2736.58</v>
      </c>
      <c r="P5" s="413">
        <f t="shared" ref="P5" si="4">M5/O5</f>
        <v>3.4049799384633379E-2</v>
      </c>
      <c r="Q5" s="409">
        <v>70</v>
      </c>
      <c r="R5" s="409">
        <v>1021</v>
      </c>
      <c r="S5" s="454">
        <v>70507760</v>
      </c>
      <c r="T5" s="415">
        <f>SUM(U5:V5)</f>
        <v>70690535</v>
      </c>
      <c r="U5" s="652">
        <v>15076151</v>
      </c>
      <c r="V5" s="652">
        <v>55614384</v>
      </c>
      <c r="W5" s="335">
        <f t="shared" ref="W5" si="5">V5/T5</f>
        <v>0.78673027442782828</v>
      </c>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row>
    <row r="6" spans="1:220" s="17" customFormat="1">
      <c r="A6" s="33">
        <v>2018</v>
      </c>
      <c r="B6" s="20">
        <v>141</v>
      </c>
      <c r="C6" s="20">
        <v>13</v>
      </c>
      <c r="D6" s="29">
        <f>SUM(B6:C6)</f>
        <v>154</v>
      </c>
      <c r="E6" s="172">
        <f>ROUND((O6/B6), 0)</f>
        <v>20</v>
      </c>
      <c r="F6" s="172">
        <f>ROUND((O6/D6), 0)</f>
        <v>18</v>
      </c>
      <c r="G6" s="20">
        <v>13</v>
      </c>
      <c r="H6" s="20">
        <v>12</v>
      </c>
      <c r="I6" s="20">
        <v>90</v>
      </c>
      <c r="J6" s="20">
        <v>25</v>
      </c>
      <c r="K6" s="29">
        <f>SUM(I6:J6)</f>
        <v>115</v>
      </c>
      <c r="L6" s="20">
        <v>15.79</v>
      </c>
      <c r="M6" s="172">
        <f>(I6+L6)</f>
        <v>105.78999999999999</v>
      </c>
      <c r="N6" s="20">
        <v>9</v>
      </c>
      <c r="O6" s="20">
        <v>2779.63</v>
      </c>
      <c r="P6" s="183">
        <f>M6/O6</f>
        <v>3.8059022243967719E-2</v>
      </c>
      <c r="Q6" s="20">
        <v>87</v>
      </c>
      <c r="R6" s="20">
        <v>1080</v>
      </c>
      <c r="S6" s="24">
        <v>73747130</v>
      </c>
      <c r="T6" s="30">
        <f>SUM(U6:V6)</f>
        <v>75894975</v>
      </c>
      <c r="U6" s="24">
        <v>19774818</v>
      </c>
      <c r="V6" s="24">
        <v>56120157</v>
      </c>
      <c r="W6" s="185">
        <f>V6/T6</f>
        <v>0.73944496325349607</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137</v>
      </c>
      <c r="C7" s="20">
        <v>19</v>
      </c>
      <c r="D7" s="34">
        <f>SUM(B7:C7)</f>
        <v>156</v>
      </c>
      <c r="E7" s="34">
        <f>ROUND((O7/B7), 0)</f>
        <v>21</v>
      </c>
      <c r="F7" s="34">
        <f>ROUND((O7/D7), 0)</f>
        <v>18</v>
      </c>
      <c r="G7" s="20">
        <v>11</v>
      </c>
      <c r="H7" s="20">
        <v>17</v>
      </c>
      <c r="I7" s="20">
        <v>120</v>
      </c>
      <c r="J7" s="20">
        <v>28</v>
      </c>
      <c r="K7" s="34">
        <f>SUM(I7:J7)</f>
        <v>148</v>
      </c>
      <c r="L7" s="20">
        <v>17.18</v>
      </c>
      <c r="M7" s="36">
        <f>(I7+L7)</f>
        <v>137.18</v>
      </c>
      <c r="N7" s="344">
        <v>14</v>
      </c>
      <c r="O7" s="344">
        <v>2870.16</v>
      </c>
      <c r="P7" s="183">
        <f t="shared" ref="P7:P22" si="6">M7/O7</f>
        <v>4.7795244864397811E-2</v>
      </c>
      <c r="Q7" s="20">
        <v>85</v>
      </c>
      <c r="R7" s="20">
        <v>933</v>
      </c>
      <c r="S7" s="300">
        <v>77674938</v>
      </c>
      <c r="T7" s="35">
        <f>SUM(U7:V7)</f>
        <v>77674938</v>
      </c>
      <c r="U7" s="341">
        <v>20612047</v>
      </c>
      <c r="V7" s="24">
        <v>57062891</v>
      </c>
      <c r="W7" s="185">
        <f t="shared" ref="W7:W22" si="7">V7/T7</f>
        <v>0.73463709748954031</v>
      </c>
    </row>
    <row r="8" spans="1:220" s="65" customFormat="1">
      <c r="A8" s="95">
        <v>2016</v>
      </c>
      <c r="B8" s="63">
        <v>185</v>
      </c>
      <c r="C8" s="63">
        <v>18.260000000000002</v>
      </c>
      <c r="D8" s="158">
        <f>B8+C8</f>
        <v>203.26</v>
      </c>
      <c r="E8" s="159">
        <f>O8/B8</f>
        <v>19.380918918918919</v>
      </c>
      <c r="F8" s="159">
        <f>O8/D8</f>
        <v>17.639820919019975</v>
      </c>
      <c r="G8" s="83">
        <v>23</v>
      </c>
      <c r="H8" s="83">
        <v>16.5</v>
      </c>
      <c r="I8" s="63">
        <v>165</v>
      </c>
      <c r="J8" s="63">
        <v>239</v>
      </c>
      <c r="K8" s="108">
        <f>SUM(I8:J8)</f>
        <v>404</v>
      </c>
      <c r="L8" s="63">
        <v>123.79</v>
      </c>
      <c r="M8" s="109">
        <f>(I8+L8)</f>
        <v>288.79000000000002</v>
      </c>
      <c r="N8" s="63">
        <v>48</v>
      </c>
      <c r="O8" s="63">
        <v>3585.47</v>
      </c>
      <c r="P8" s="183">
        <f t="shared" si="6"/>
        <v>8.0544531121442942E-2</v>
      </c>
      <c r="Q8" s="63">
        <v>128</v>
      </c>
      <c r="R8" s="63">
        <v>837</v>
      </c>
      <c r="S8" s="74">
        <v>82195720</v>
      </c>
      <c r="T8" s="241">
        <f>U8+V8</f>
        <v>84913527</v>
      </c>
      <c r="U8" s="74">
        <v>18336926</v>
      </c>
      <c r="V8" s="74">
        <v>66576601</v>
      </c>
      <c r="W8" s="185">
        <f t="shared" si="7"/>
        <v>0.78405176833603907</v>
      </c>
    </row>
    <row r="9" spans="1:220" s="101" customFormat="1">
      <c r="A9" s="95">
        <v>2015</v>
      </c>
      <c r="B9" s="63">
        <v>19</v>
      </c>
      <c r="C9" s="63">
        <v>14.57</v>
      </c>
      <c r="D9" s="87">
        <f>SUM(B9:C9)</f>
        <v>33.57</v>
      </c>
      <c r="E9" s="160">
        <f>O9/B9</f>
        <v>162.44157894736841</v>
      </c>
      <c r="F9" s="160">
        <f>O9/D9</f>
        <v>91.938933571641343</v>
      </c>
      <c r="G9" s="242"/>
      <c r="H9" s="242"/>
      <c r="I9" s="63">
        <v>166</v>
      </c>
      <c r="J9" s="63">
        <v>200</v>
      </c>
      <c r="K9" s="87">
        <v>366</v>
      </c>
      <c r="L9" s="63">
        <v>130.5</v>
      </c>
      <c r="M9" s="87">
        <v>296.5</v>
      </c>
      <c r="N9" s="63">
        <v>36</v>
      </c>
      <c r="O9" s="63">
        <v>3086.39</v>
      </c>
      <c r="P9" s="183">
        <f t="shared" si="6"/>
        <v>9.6066926085167467E-2</v>
      </c>
      <c r="Q9" s="63">
        <v>144</v>
      </c>
      <c r="R9" s="63">
        <v>781</v>
      </c>
      <c r="S9" s="102">
        <v>67794692</v>
      </c>
      <c r="T9" s="103">
        <f>U9+V9</f>
        <v>70350916</v>
      </c>
      <c r="U9" s="102">
        <v>17872877</v>
      </c>
      <c r="V9" s="102">
        <v>52478039</v>
      </c>
      <c r="W9" s="185">
        <f t="shared" si="7"/>
        <v>0.74594677630068096</v>
      </c>
    </row>
    <row r="10" spans="1:220" s="79" customFormat="1">
      <c r="A10" s="90">
        <v>2014</v>
      </c>
      <c r="B10" s="361">
        <v>20</v>
      </c>
      <c r="C10" s="361">
        <f>4.62+11.88</f>
        <v>16.5</v>
      </c>
      <c r="D10" s="158">
        <f>B10+C10</f>
        <v>36.5</v>
      </c>
      <c r="E10" s="159">
        <f>O10/B10</f>
        <v>139.84899999999999</v>
      </c>
      <c r="F10" s="159">
        <f>O10/D10</f>
        <v>76.629589041095898</v>
      </c>
      <c r="G10" s="242"/>
      <c r="H10" s="242"/>
      <c r="I10" s="161">
        <v>160</v>
      </c>
      <c r="J10" s="161">
        <v>180</v>
      </c>
      <c r="K10" s="158">
        <v>340</v>
      </c>
      <c r="L10" s="161">
        <v>113.49</v>
      </c>
      <c r="M10" s="158">
        <v>273.49</v>
      </c>
      <c r="N10" s="161">
        <v>27</v>
      </c>
      <c r="O10" s="161">
        <v>2796.98</v>
      </c>
      <c r="P10" s="183">
        <f t="shared" si="6"/>
        <v>9.7780463213894983E-2</v>
      </c>
      <c r="Q10" s="161">
        <v>168</v>
      </c>
      <c r="R10" s="161">
        <v>643</v>
      </c>
      <c r="S10" s="243">
        <v>65083844</v>
      </c>
      <c r="T10" s="241">
        <f>U10+V10</f>
        <v>68021568</v>
      </c>
      <c r="U10" s="243">
        <v>18135716</v>
      </c>
      <c r="V10" s="243">
        <v>49885852</v>
      </c>
      <c r="W10" s="185">
        <f t="shared" si="7"/>
        <v>0.73338285880149068</v>
      </c>
    </row>
    <row r="11" spans="1:220" s="71" customFormat="1">
      <c r="A11" s="90">
        <v>2013</v>
      </c>
      <c r="B11" s="361">
        <v>22</v>
      </c>
      <c r="C11" s="361">
        <v>7.2</v>
      </c>
      <c r="D11" s="108">
        <f>B11+C11</f>
        <v>29.2</v>
      </c>
      <c r="E11" s="109">
        <f t="shared" ref="E11:E16" si="8">ROUND((O11/B11), 0)</f>
        <v>13</v>
      </c>
      <c r="F11" s="109">
        <f t="shared" ref="F11:F22" si="9">ROUND((O11/D11), 0)</f>
        <v>10</v>
      </c>
      <c r="G11" s="113"/>
      <c r="H11" s="113"/>
      <c r="I11" s="361">
        <v>168</v>
      </c>
      <c r="J11" s="361">
        <v>180</v>
      </c>
      <c r="K11" s="108">
        <f>I11+J11</f>
        <v>348</v>
      </c>
      <c r="L11" s="361">
        <v>116.3</v>
      </c>
      <c r="M11" s="109">
        <f>I11+L11</f>
        <v>284.3</v>
      </c>
      <c r="N11" s="361">
        <v>23</v>
      </c>
      <c r="O11" s="361">
        <v>283.77999999999997</v>
      </c>
      <c r="P11" s="183">
        <f t="shared" si="6"/>
        <v>1.001832405384453</v>
      </c>
      <c r="Q11" s="361">
        <v>188</v>
      </c>
      <c r="R11" s="361">
        <v>554</v>
      </c>
      <c r="S11" s="112">
        <v>34243232</v>
      </c>
      <c r="T11" s="110">
        <f t="shared" ref="T11:T22" si="10">SUM(U11:V11)</f>
        <v>53795759</v>
      </c>
      <c r="U11" s="112">
        <v>35856413</v>
      </c>
      <c r="V11" s="112">
        <v>17939346</v>
      </c>
      <c r="W11" s="185">
        <f t="shared" si="7"/>
        <v>0.33347138015098921</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row>
    <row r="12" spans="1:220" s="71" customFormat="1">
      <c r="A12" s="90">
        <v>2012</v>
      </c>
      <c r="B12" s="361">
        <v>26</v>
      </c>
      <c r="C12" s="361">
        <v>23</v>
      </c>
      <c r="D12" s="108">
        <f>B12+C12</f>
        <v>49</v>
      </c>
      <c r="E12" s="109">
        <f t="shared" si="8"/>
        <v>10</v>
      </c>
      <c r="F12" s="109">
        <f t="shared" si="9"/>
        <v>6</v>
      </c>
      <c r="G12" s="113"/>
      <c r="H12" s="113"/>
      <c r="I12" s="361">
        <v>210</v>
      </c>
      <c r="J12" s="361">
        <v>57</v>
      </c>
      <c r="K12" s="108">
        <f>I12+J12</f>
        <v>267</v>
      </c>
      <c r="L12" s="361">
        <v>36</v>
      </c>
      <c r="M12" s="109">
        <f>I12+L12</f>
        <v>246</v>
      </c>
      <c r="N12" s="361">
        <v>21</v>
      </c>
      <c r="O12" s="361">
        <v>272</v>
      </c>
      <c r="P12" s="183">
        <f t="shared" si="6"/>
        <v>0.90441176470588236</v>
      </c>
      <c r="Q12" s="361">
        <v>268</v>
      </c>
      <c r="R12" s="361">
        <v>7</v>
      </c>
      <c r="S12" s="112">
        <v>8627310</v>
      </c>
      <c r="T12" s="110">
        <f t="shared" si="10"/>
        <v>8010752</v>
      </c>
      <c r="U12" s="112">
        <v>6892252</v>
      </c>
      <c r="V12" s="112">
        <v>1118500</v>
      </c>
      <c r="W12" s="185">
        <f t="shared" si="7"/>
        <v>0.13962484420938259</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row>
    <row r="13" spans="1:220" s="71" customFormat="1">
      <c r="A13" s="90" t="s">
        <v>81</v>
      </c>
      <c r="B13" s="361">
        <v>26</v>
      </c>
      <c r="C13" s="361">
        <v>23.75</v>
      </c>
      <c r="D13" s="108">
        <f>SUM(B13:C13)</f>
        <v>49.75</v>
      </c>
      <c r="E13" s="109">
        <f t="shared" si="8"/>
        <v>18</v>
      </c>
      <c r="F13" s="109">
        <f t="shared" si="9"/>
        <v>9</v>
      </c>
      <c r="G13" s="113"/>
      <c r="H13" s="113"/>
      <c r="I13" s="361">
        <v>289</v>
      </c>
      <c r="J13" s="361">
        <v>237</v>
      </c>
      <c r="K13" s="108">
        <f>SUM(I13:J13)</f>
        <v>526</v>
      </c>
      <c r="L13" s="361">
        <v>146.87</v>
      </c>
      <c r="M13" s="109">
        <f>(I13+L13)</f>
        <v>435.87</v>
      </c>
      <c r="N13" s="361">
        <v>42</v>
      </c>
      <c r="O13" s="361">
        <v>464.51</v>
      </c>
      <c r="P13" s="183">
        <f t="shared" si="6"/>
        <v>0.93834363092290807</v>
      </c>
      <c r="Q13" s="361">
        <v>272</v>
      </c>
      <c r="R13" s="361">
        <v>7</v>
      </c>
      <c r="S13" s="112">
        <v>11927727</v>
      </c>
      <c r="T13" s="110">
        <f t="shared" si="10"/>
        <v>11929164</v>
      </c>
      <c r="U13" s="112">
        <v>10746875</v>
      </c>
      <c r="V13" s="112">
        <v>1182289</v>
      </c>
      <c r="W13" s="185">
        <f t="shared" si="7"/>
        <v>9.910912449522867E-2</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row>
    <row r="14" spans="1:220" s="71" customFormat="1">
      <c r="A14" s="90" t="s">
        <v>82</v>
      </c>
      <c r="B14" s="361">
        <v>25</v>
      </c>
      <c r="C14" s="361">
        <v>25.5</v>
      </c>
      <c r="D14" s="108">
        <f>SUM(B14:C14)</f>
        <v>50.5</v>
      </c>
      <c r="E14" s="109">
        <f t="shared" si="8"/>
        <v>21</v>
      </c>
      <c r="F14" s="109">
        <f t="shared" si="9"/>
        <v>11</v>
      </c>
      <c r="G14" s="113"/>
      <c r="H14" s="113"/>
      <c r="I14" s="361">
        <v>326</v>
      </c>
      <c r="J14" s="361">
        <v>282</v>
      </c>
      <c r="K14" s="108">
        <f>SUM(I14:J14)</f>
        <v>608</v>
      </c>
      <c r="L14" s="361">
        <v>171.76</v>
      </c>
      <c r="M14" s="109">
        <f>(I14+L14)</f>
        <v>497.76</v>
      </c>
      <c r="N14" s="361">
        <v>66</v>
      </c>
      <c r="O14" s="361">
        <v>531.44000000000005</v>
      </c>
      <c r="P14" s="183">
        <f t="shared" si="6"/>
        <v>0.93662501881679949</v>
      </c>
      <c r="Q14" s="361">
        <v>261</v>
      </c>
      <c r="R14" s="361">
        <v>3</v>
      </c>
      <c r="S14" s="112">
        <v>9551222</v>
      </c>
      <c r="T14" s="110">
        <f t="shared" si="10"/>
        <v>9592458</v>
      </c>
      <c r="U14" s="112">
        <v>8916133</v>
      </c>
      <c r="V14" s="112">
        <v>676325</v>
      </c>
      <c r="W14" s="185">
        <f t="shared" si="7"/>
        <v>7.0505912040480137E-2</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row>
    <row r="15" spans="1:220" s="71" customFormat="1">
      <c r="A15" s="90" t="s">
        <v>83</v>
      </c>
      <c r="B15" s="361">
        <v>24.5</v>
      </c>
      <c r="C15" s="361">
        <v>13</v>
      </c>
      <c r="D15" s="108">
        <f>SUM(B15:C15)</f>
        <v>37.5</v>
      </c>
      <c r="E15" s="109">
        <f t="shared" si="8"/>
        <v>22</v>
      </c>
      <c r="F15" s="109">
        <f t="shared" si="9"/>
        <v>14</v>
      </c>
      <c r="G15" s="113"/>
      <c r="H15" s="113"/>
      <c r="I15" s="361">
        <v>307</v>
      </c>
      <c r="J15" s="361">
        <v>315</v>
      </c>
      <c r="K15" s="108">
        <f>SUM(I15:J15)</f>
        <v>622</v>
      </c>
      <c r="L15" s="361">
        <v>190.32</v>
      </c>
      <c r="M15" s="109">
        <f>(I15+L15)</f>
        <v>497.32</v>
      </c>
      <c r="N15" s="361">
        <v>52</v>
      </c>
      <c r="O15" s="361">
        <v>529.83000000000004</v>
      </c>
      <c r="P15" s="183">
        <f t="shared" si="6"/>
        <v>0.93864069607232503</v>
      </c>
      <c r="Q15" s="361">
        <v>278</v>
      </c>
      <c r="R15" s="361">
        <v>1</v>
      </c>
      <c r="S15" s="112">
        <v>9399485</v>
      </c>
      <c r="T15" s="110">
        <f t="shared" si="10"/>
        <v>9403353</v>
      </c>
      <c r="U15" s="112">
        <v>8472109</v>
      </c>
      <c r="V15" s="112">
        <v>931244</v>
      </c>
      <c r="W15" s="185">
        <f t="shared" si="7"/>
        <v>9.9033185290395884E-2</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row>
    <row r="16" spans="1:220" s="71" customFormat="1">
      <c r="A16" s="90" t="s">
        <v>84</v>
      </c>
      <c r="B16" s="361">
        <v>23.5</v>
      </c>
      <c r="C16" s="361">
        <v>12</v>
      </c>
      <c r="D16" s="108">
        <f>SUM(B16:C16)</f>
        <v>35.5</v>
      </c>
      <c r="E16" s="109">
        <f t="shared" si="8"/>
        <v>21</v>
      </c>
      <c r="F16" s="109">
        <f t="shared" si="9"/>
        <v>14</v>
      </c>
      <c r="G16" s="113"/>
      <c r="H16" s="113"/>
      <c r="I16" s="361">
        <v>293</v>
      </c>
      <c r="J16" s="361">
        <v>318</v>
      </c>
      <c r="K16" s="108">
        <f>SUM(I16:J16)</f>
        <v>611</v>
      </c>
      <c r="L16" s="361">
        <v>174.41</v>
      </c>
      <c r="M16" s="109">
        <f>(I16+L16)</f>
        <v>467.40999999999997</v>
      </c>
      <c r="N16" s="361">
        <v>42</v>
      </c>
      <c r="O16" s="361">
        <v>499.58</v>
      </c>
      <c r="P16" s="183">
        <f t="shared" si="6"/>
        <v>0.93560590896352935</v>
      </c>
      <c r="Q16" s="361">
        <v>237</v>
      </c>
      <c r="R16" s="361">
        <v>5</v>
      </c>
      <c r="S16" s="112">
        <v>8811802</v>
      </c>
      <c r="T16" s="110">
        <f t="shared" si="10"/>
        <v>8836740</v>
      </c>
      <c r="U16" s="112">
        <v>7758772</v>
      </c>
      <c r="V16" s="112">
        <v>1077968</v>
      </c>
      <c r="W16" s="185">
        <f t="shared" si="7"/>
        <v>0.12198706762901251</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row>
    <row r="17" spans="1:65" s="71" customFormat="1">
      <c r="A17" s="90">
        <v>2007</v>
      </c>
      <c r="B17" s="361">
        <v>22.5</v>
      </c>
      <c r="C17" s="361">
        <v>12.6</v>
      </c>
      <c r="D17" s="194">
        <f>SUM(B17:C17)</f>
        <v>35.1</v>
      </c>
      <c r="E17" s="109">
        <f>ROUND((O17/B17),0)</f>
        <v>21</v>
      </c>
      <c r="F17" s="109">
        <f t="shared" si="9"/>
        <v>14</v>
      </c>
      <c r="G17" s="113"/>
      <c r="H17" s="113"/>
      <c r="I17" s="361">
        <v>264</v>
      </c>
      <c r="J17" s="361">
        <v>325</v>
      </c>
      <c r="K17" s="109">
        <f>SUM(I17:J17)</f>
        <v>589</v>
      </c>
      <c r="L17" s="361">
        <v>185.61</v>
      </c>
      <c r="M17" s="109">
        <f>(I17+L17)</f>
        <v>449.61</v>
      </c>
      <c r="N17" s="361">
        <v>48</v>
      </c>
      <c r="O17" s="361">
        <v>478.9</v>
      </c>
      <c r="P17" s="183">
        <f t="shared" si="6"/>
        <v>0.93883900605554405</v>
      </c>
      <c r="Q17" s="361">
        <v>253</v>
      </c>
      <c r="R17" s="361">
        <v>6</v>
      </c>
      <c r="S17" s="192">
        <v>8236459</v>
      </c>
      <c r="T17" s="110">
        <f t="shared" si="10"/>
        <v>8551837</v>
      </c>
      <c r="U17" s="192">
        <v>7124924</v>
      </c>
      <c r="V17" s="192">
        <v>1426913</v>
      </c>
      <c r="W17" s="185">
        <f t="shared" si="7"/>
        <v>0.1668545600202623</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row>
    <row r="18" spans="1:65" s="71" customFormat="1">
      <c r="A18" s="90">
        <v>2006</v>
      </c>
      <c r="B18" s="361">
        <v>23</v>
      </c>
      <c r="C18" s="361">
        <v>11</v>
      </c>
      <c r="D18" s="194">
        <v>34</v>
      </c>
      <c r="E18" s="109">
        <f>ROUND((O18/B18),0)</f>
        <v>21</v>
      </c>
      <c r="F18" s="109">
        <f t="shared" si="9"/>
        <v>14</v>
      </c>
      <c r="G18" s="113"/>
      <c r="H18" s="113"/>
      <c r="I18" s="361">
        <v>260</v>
      </c>
      <c r="J18" s="361">
        <v>325</v>
      </c>
      <c r="K18" s="109">
        <v>585</v>
      </c>
      <c r="L18" s="361">
        <v>193</v>
      </c>
      <c r="M18" s="109">
        <v>453</v>
      </c>
      <c r="N18" s="361">
        <v>47</v>
      </c>
      <c r="O18" s="361">
        <v>486</v>
      </c>
      <c r="P18" s="183">
        <f t="shared" si="6"/>
        <v>0.9320987654320988</v>
      </c>
      <c r="Q18" s="361">
        <v>260</v>
      </c>
      <c r="R18" s="361">
        <v>5</v>
      </c>
      <c r="S18" s="192">
        <v>8849572</v>
      </c>
      <c r="T18" s="110">
        <f t="shared" si="10"/>
        <v>8856553</v>
      </c>
      <c r="U18" s="192">
        <v>7134353</v>
      </c>
      <c r="V18" s="192">
        <v>1722200</v>
      </c>
      <c r="W18" s="185">
        <f t="shared" si="7"/>
        <v>0.1944548855519749</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row>
    <row r="19" spans="1:65" s="71" customFormat="1">
      <c r="A19" s="90">
        <v>2005</v>
      </c>
      <c r="B19" s="361">
        <v>23</v>
      </c>
      <c r="C19" s="361">
        <v>10</v>
      </c>
      <c r="D19" s="194">
        <f>SUM(B19:C19)</f>
        <v>33</v>
      </c>
      <c r="E19" s="109">
        <f>ROUND((O19/B19),0)</f>
        <v>22</v>
      </c>
      <c r="F19" s="109">
        <f t="shared" si="9"/>
        <v>15</v>
      </c>
      <c r="G19" s="113"/>
      <c r="H19" s="113"/>
      <c r="I19" s="361">
        <v>253</v>
      </c>
      <c r="J19" s="361">
        <v>284</v>
      </c>
      <c r="K19" s="109">
        <f>SUM(I19:J19)</f>
        <v>537</v>
      </c>
      <c r="L19" s="361">
        <v>163</v>
      </c>
      <c r="M19" s="109">
        <f>(I19+L19)</f>
        <v>416</v>
      </c>
      <c r="N19" s="361">
        <v>26</v>
      </c>
      <c r="O19" s="361">
        <v>507</v>
      </c>
      <c r="P19" s="183">
        <f t="shared" si="6"/>
        <v>0.82051282051282048</v>
      </c>
      <c r="Q19" s="361">
        <v>189</v>
      </c>
      <c r="R19" s="361">
        <v>27</v>
      </c>
      <c r="S19" s="192">
        <v>7932014</v>
      </c>
      <c r="T19" s="110">
        <f t="shared" si="10"/>
        <v>7932446</v>
      </c>
      <c r="U19" s="192">
        <v>7218863</v>
      </c>
      <c r="V19" s="192">
        <v>713583</v>
      </c>
      <c r="W19" s="185">
        <f t="shared" si="7"/>
        <v>8.995749860761737E-2</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row>
    <row r="20" spans="1:65" s="71" customFormat="1">
      <c r="A20" s="90">
        <v>2004</v>
      </c>
      <c r="B20" s="361">
        <v>26</v>
      </c>
      <c r="C20" s="361">
        <v>13</v>
      </c>
      <c r="D20" s="194">
        <f>SUM(B20:C20)</f>
        <v>39</v>
      </c>
      <c r="E20" s="109">
        <f>ROUND((O20/B20),0)</f>
        <v>19</v>
      </c>
      <c r="F20" s="109">
        <f t="shared" si="9"/>
        <v>12</v>
      </c>
      <c r="G20" s="113"/>
      <c r="H20" s="113"/>
      <c r="I20" s="195">
        <v>210</v>
      </c>
      <c r="J20" s="195">
        <v>306</v>
      </c>
      <c r="K20" s="109">
        <f>SUM(I20:J20)</f>
        <v>516</v>
      </c>
      <c r="L20" s="195">
        <v>169</v>
      </c>
      <c r="M20" s="109">
        <f>(I20+L20)</f>
        <v>379</v>
      </c>
      <c r="N20" s="195">
        <v>56</v>
      </c>
      <c r="O20" s="195">
        <v>486</v>
      </c>
      <c r="P20" s="183">
        <f t="shared" si="6"/>
        <v>0.77983539094650201</v>
      </c>
      <c r="Q20" s="195">
        <v>206</v>
      </c>
      <c r="R20" s="361">
        <v>52</v>
      </c>
      <c r="S20" s="192">
        <v>7969702</v>
      </c>
      <c r="T20" s="110">
        <f t="shared" si="10"/>
        <v>7972377</v>
      </c>
      <c r="U20" s="192">
        <v>7201407</v>
      </c>
      <c r="V20" s="192">
        <v>770970</v>
      </c>
      <c r="W20" s="185">
        <f t="shared" si="7"/>
        <v>9.6705160832208509E-2</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row>
    <row r="21" spans="1:65" s="71" customFormat="1">
      <c r="A21" s="90">
        <v>2003</v>
      </c>
      <c r="B21" s="195">
        <v>23</v>
      </c>
      <c r="C21" s="195">
        <v>3</v>
      </c>
      <c r="D21" s="194">
        <f>SUM(B21:C21)</f>
        <v>26</v>
      </c>
      <c r="E21" s="109">
        <f>ROUND((O21/B21), 0)</f>
        <v>22</v>
      </c>
      <c r="F21" s="109">
        <f t="shared" si="9"/>
        <v>19</v>
      </c>
      <c r="G21" s="113"/>
      <c r="H21" s="113"/>
      <c r="I21" s="195">
        <v>269</v>
      </c>
      <c r="J21" s="195">
        <v>342</v>
      </c>
      <c r="K21" s="194">
        <v>611</v>
      </c>
      <c r="L21" s="195">
        <v>190</v>
      </c>
      <c r="M21" s="109">
        <f>(I21+L21)</f>
        <v>459</v>
      </c>
      <c r="N21" s="195">
        <v>35</v>
      </c>
      <c r="O21" s="195">
        <v>496</v>
      </c>
      <c r="P21" s="183">
        <f t="shared" si="6"/>
        <v>0.92540322580645162</v>
      </c>
      <c r="Q21" s="195">
        <v>194</v>
      </c>
      <c r="R21" s="361">
        <v>5</v>
      </c>
      <c r="S21" s="192">
        <v>6947091</v>
      </c>
      <c r="T21" s="110">
        <f t="shared" si="10"/>
        <v>6951727</v>
      </c>
      <c r="U21" s="192">
        <v>6785071</v>
      </c>
      <c r="V21" s="192">
        <v>166656</v>
      </c>
      <c r="W21" s="185">
        <f t="shared" si="7"/>
        <v>2.3973323463363852E-2</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row>
    <row r="22" spans="1:65" s="71" customFormat="1">
      <c r="A22" s="90">
        <v>2002</v>
      </c>
      <c r="B22" s="195">
        <v>23</v>
      </c>
      <c r="C22" s="195">
        <v>18</v>
      </c>
      <c r="D22" s="194">
        <f>SUM(B22:C22)</f>
        <v>41</v>
      </c>
      <c r="E22" s="109">
        <f>ROUND((O22/B22), 0)</f>
        <v>20</v>
      </c>
      <c r="F22" s="109">
        <f t="shared" si="9"/>
        <v>11</v>
      </c>
      <c r="G22" s="113"/>
      <c r="H22" s="113"/>
      <c r="I22" s="195">
        <v>241</v>
      </c>
      <c r="J22" s="195">
        <v>342</v>
      </c>
      <c r="K22" s="194">
        <f>SUM(I22:J22)</f>
        <v>583</v>
      </c>
      <c r="L22" s="195">
        <f>ROUND(185.2, 0)</f>
        <v>185</v>
      </c>
      <c r="M22" s="109">
        <f>(I22+L22)</f>
        <v>426</v>
      </c>
      <c r="N22" s="195">
        <v>31</v>
      </c>
      <c r="O22" s="195">
        <v>457</v>
      </c>
      <c r="P22" s="183">
        <f t="shared" si="6"/>
        <v>0.93216630196936545</v>
      </c>
      <c r="Q22" s="195">
        <v>192</v>
      </c>
      <c r="R22" s="361">
        <v>2</v>
      </c>
      <c r="S22" s="192">
        <v>6629132</v>
      </c>
      <c r="T22" s="110">
        <f t="shared" si="10"/>
        <v>6894190</v>
      </c>
      <c r="U22" s="192">
        <v>6572304</v>
      </c>
      <c r="V22" s="192">
        <v>321886</v>
      </c>
      <c r="W22" s="185">
        <f t="shared" si="7"/>
        <v>4.6689458805167831E-2</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row>
    <row r="23" spans="1:65" s="71" customFormat="1">
      <c r="A23" s="674" t="s">
        <v>128</v>
      </c>
      <c r="B23" s="684"/>
      <c r="C23" s="684"/>
      <c r="D23" s="684"/>
      <c r="E23" s="684"/>
      <c r="F23" s="684"/>
      <c r="G23" s="684"/>
      <c r="H23" s="684"/>
      <c r="I23" s="684"/>
      <c r="J23" s="684"/>
      <c r="K23" s="684"/>
      <c r="L23" s="684"/>
      <c r="M23" s="684"/>
      <c r="N23" s="684"/>
      <c r="O23" s="684"/>
      <c r="P23" s="684"/>
      <c r="Q23" s="684"/>
      <c r="R23" s="684"/>
      <c r="S23" s="684"/>
      <c r="T23" s="684"/>
      <c r="U23" s="656"/>
      <c r="V23" s="656"/>
      <c r="W23" s="656"/>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row>
    <row r="24" spans="1:65" s="71" customFormat="1">
      <c r="A24" s="654" t="s">
        <v>129</v>
      </c>
      <c r="B24" s="656"/>
      <c r="C24" s="656"/>
      <c r="D24" s="656"/>
      <c r="E24" s="656"/>
      <c r="F24" s="656"/>
      <c r="G24" s="656"/>
      <c r="H24" s="656"/>
      <c r="I24" s="656"/>
      <c r="J24" s="656"/>
      <c r="K24" s="656"/>
      <c r="L24" s="656"/>
      <c r="M24" s="656"/>
      <c r="N24" s="656"/>
      <c r="O24" s="656"/>
      <c r="P24" s="656"/>
      <c r="Q24" s="656"/>
      <c r="R24" s="656"/>
      <c r="S24" s="656"/>
      <c r="T24" s="656"/>
      <c r="U24" s="656"/>
      <c r="V24" s="656"/>
      <c r="W24" s="656"/>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row>
    <row r="25" spans="1:65" s="71" customFormat="1">
      <c r="A25" s="653" t="s">
        <v>93</v>
      </c>
      <c r="B25" s="683"/>
      <c r="C25" s="683"/>
      <c r="D25" s="683"/>
      <c r="E25" s="683"/>
      <c r="F25" s="683"/>
      <c r="G25" s="683"/>
      <c r="H25" s="683"/>
      <c r="I25" s="683"/>
      <c r="J25" s="683"/>
      <c r="K25" s="683"/>
      <c r="L25" s="683"/>
      <c r="M25" s="683"/>
      <c r="N25" s="683"/>
      <c r="O25" s="683"/>
      <c r="P25" s="683"/>
      <c r="Q25" s="683"/>
      <c r="R25" s="683"/>
      <c r="S25" s="683"/>
      <c r="T25" s="683"/>
      <c r="U25" s="683"/>
      <c r="V25" s="683"/>
      <c r="W25" s="683"/>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row>
    <row r="26" spans="1:65" s="13" customFormat="1">
      <c r="A26" s="685" t="s">
        <v>147</v>
      </c>
      <c r="B26" s="656"/>
      <c r="C26" s="656"/>
      <c r="D26" s="656"/>
      <c r="E26" s="656"/>
      <c r="F26" s="656"/>
      <c r="G26" s="656"/>
      <c r="H26" s="656"/>
      <c r="I26" s="656"/>
      <c r="J26" s="656"/>
      <c r="K26" s="656"/>
      <c r="L26" s="656"/>
      <c r="M26" s="656"/>
      <c r="N26" s="656"/>
      <c r="O26" s="656"/>
      <c r="P26" s="656"/>
      <c r="Q26" s="656"/>
      <c r="R26" s="656"/>
      <c r="S26" s="656"/>
      <c r="T26" s="656"/>
      <c r="U26" s="656"/>
      <c r="V26" s="656"/>
      <c r="W26" s="65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row>
    <row r="27" spans="1:65" s="13" customFormat="1">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row>
    <row r="28" spans="1:65"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row>
    <row r="29" spans="1:65"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row>
    <row r="30" spans="1:65"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row>
    <row r="31" spans="1:65"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row>
    <row r="32" spans="1:65"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row>
    <row r="33" spans="2:65"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row>
    <row r="34" spans="2:65" s="14" customFormat="1">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row>
    <row r="35" spans="2:65" s="14" customFormat="1">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row>
    <row r="36" spans="2:65" s="14" customFormat="1">
      <c r="B36" s="14" t="s">
        <v>130</v>
      </c>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row>
  </sheetData>
  <mergeCells count="4">
    <mergeCell ref="A24:W24"/>
    <mergeCell ref="A23:W23"/>
    <mergeCell ref="A25:W25"/>
    <mergeCell ref="A26:W26"/>
  </mergeCells>
  <printOptions headings="1" gridLines="1"/>
  <pageMargins left="0.5" right="0.5" top="0.5" bottom="0.5" header="0" footer="0"/>
  <pageSetup paperSize="5" scale="67" orientation="landscape" r:id="rId1"/>
  <legacy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L23"/>
  <sheetViews>
    <sheetView workbookViewId="0">
      <selection activeCell="J23" sqref="J23"/>
    </sheetView>
  </sheetViews>
  <sheetFormatPr defaultColWidth="8.85546875" defaultRowHeight="15"/>
  <cols>
    <col min="1" max="1" width="9.42578125" customWidth="1"/>
    <col min="2" max="2" width="8.7109375" customWidth="1"/>
    <col min="3" max="3" width="10" customWidth="1"/>
    <col min="4" max="4" width="9.85546875" customWidth="1"/>
    <col min="5" max="5" width="11.85546875" customWidth="1"/>
    <col min="6" max="8" width="12.140625" customWidth="1"/>
    <col min="9" max="9" width="8.85546875" bestFit="1" customWidth="1"/>
    <col min="10" max="11" width="11.85546875" bestFit="1" customWidth="1"/>
    <col min="12" max="12" width="12.28515625" bestFit="1" customWidth="1"/>
    <col min="13" max="13" width="13.140625" bestFit="1" customWidth="1"/>
    <col min="14" max="14" width="11.7109375" customWidth="1"/>
    <col min="15" max="15" width="13.42578125" bestFit="1" customWidth="1"/>
    <col min="16" max="16" width="14.28515625" customWidth="1"/>
    <col min="17" max="17" width="12.42578125" bestFit="1" customWidth="1"/>
    <col min="18" max="18" width="9" bestFit="1" customWidth="1"/>
    <col min="19" max="19" width="13" customWidth="1"/>
    <col min="20" max="20" width="12.85546875" bestFit="1" customWidth="1"/>
    <col min="21" max="21" width="11.140625" bestFit="1" customWidth="1"/>
    <col min="22" max="22" width="10.85546875" bestFit="1" customWidth="1"/>
    <col min="23" max="23" width="12.85546875" bestFit="1" customWidth="1"/>
    <col min="24" max="73" width="8.85546875" style="376"/>
  </cols>
  <sheetData>
    <row r="1" spans="1:220" s="1" customFormat="1" ht="18.75">
      <c r="A1" s="1" t="s">
        <v>174</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220" s="416" customFormat="1">
      <c r="A3" s="554">
        <v>2021</v>
      </c>
      <c r="B3" s="409">
        <v>58</v>
      </c>
      <c r="C3" s="409">
        <v>43</v>
      </c>
      <c r="D3" s="410">
        <f>SUM(B3:C3)</f>
        <v>101</v>
      </c>
      <c r="E3" s="456">
        <f>O3/B3</f>
        <v>25.775862068965516</v>
      </c>
      <c r="F3" s="456">
        <f>O3/D3</f>
        <v>14.801980198019802</v>
      </c>
      <c r="G3" s="409">
        <v>8</v>
      </c>
      <c r="H3" s="409">
        <f>51/4</f>
        <v>12.75</v>
      </c>
      <c r="I3" s="409">
        <v>81</v>
      </c>
      <c r="J3" s="409">
        <v>265</v>
      </c>
      <c r="K3" s="455">
        <v>346</v>
      </c>
      <c r="L3" s="409">
        <v>151</v>
      </c>
      <c r="M3" s="411">
        <v>232</v>
      </c>
      <c r="N3" s="409">
        <v>32</v>
      </c>
      <c r="O3" s="409">
        <v>1495</v>
      </c>
      <c r="P3" s="457">
        <v>0.155</v>
      </c>
      <c r="Q3" s="409">
        <v>109</v>
      </c>
      <c r="R3" s="409">
        <v>337</v>
      </c>
      <c r="S3" s="414">
        <v>12747248.300000001</v>
      </c>
      <c r="T3" s="458">
        <f>SUM(U3:V3)</f>
        <v>19979226.530000001</v>
      </c>
      <c r="U3" s="414">
        <v>14535393.74</v>
      </c>
      <c r="V3" s="414">
        <v>5443832.79</v>
      </c>
      <c r="W3" s="335">
        <f>V3/T3</f>
        <v>0.27247465170014268</v>
      </c>
    </row>
    <row r="4" spans="1:220" s="416" customFormat="1">
      <c r="A4" s="554">
        <v>2020</v>
      </c>
      <c r="B4" s="409">
        <v>64</v>
      </c>
      <c r="C4" s="409">
        <v>46</v>
      </c>
      <c r="D4" s="410">
        <f>SUM(B4:C4)</f>
        <v>110</v>
      </c>
      <c r="E4" s="456">
        <f>O4/B4</f>
        <v>22.796875</v>
      </c>
      <c r="F4" s="456">
        <f>O4/D4</f>
        <v>13.263636363636364</v>
      </c>
      <c r="G4" s="409">
        <v>8</v>
      </c>
      <c r="H4" s="409">
        <v>7.75</v>
      </c>
      <c r="I4" s="409">
        <v>55</v>
      </c>
      <c r="J4" s="409">
        <v>231</v>
      </c>
      <c r="K4" s="455">
        <f>SUM(I4:J4)</f>
        <v>286</v>
      </c>
      <c r="L4" s="409">
        <v>131</v>
      </c>
      <c r="M4" s="411">
        <f>(I4+L4)</f>
        <v>186</v>
      </c>
      <c r="N4" s="409">
        <v>34</v>
      </c>
      <c r="O4" s="409">
        <v>1459</v>
      </c>
      <c r="P4" s="457">
        <f t="shared" ref="P4" si="0">M4/O4</f>
        <v>0.12748457847840988</v>
      </c>
      <c r="Q4" s="409">
        <v>93</v>
      </c>
      <c r="R4" s="409">
        <v>0</v>
      </c>
      <c r="S4" s="414">
        <v>13081708.900000004</v>
      </c>
      <c r="T4" s="458">
        <f>SUM(U4:V4)</f>
        <v>17984366.200000003</v>
      </c>
      <c r="U4" s="414">
        <v>14662324.200000003</v>
      </c>
      <c r="V4" s="414">
        <v>3322042</v>
      </c>
      <c r="W4" s="335">
        <f>V4/T4</f>
        <v>0.18471832496382326</v>
      </c>
    </row>
    <row r="5" spans="1:220">
      <c r="A5" s="417">
        <v>2019</v>
      </c>
      <c r="B5" s="409">
        <v>56</v>
      </c>
      <c r="C5" s="409">
        <v>44</v>
      </c>
      <c r="D5" s="455">
        <v>97</v>
      </c>
      <c r="E5" s="456">
        <v>26</v>
      </c>
      <c r="F5" s="456">
        <v>15</v>
      </c>
      <c r="G5" s="409">
        <v>8</v>
      </c>
      <c r="H5" s="409">
        <v>5.9</v>
      </c>
      <c r="I5" s="409">
        <v>54</v>
      </c>
      <c r="J5" s="409">
        <v>227</v>
      </c>
      <c r="K5" s="455">
        <f>SUM(I5:J5)</f>
        <v>281</v>
      </c>
      <c r="L5" s="409">
        <v>129</v>
      </c>
      <c r="M5" s="456">
        <f>L5+I5</f>
        <v>183</v>
      </c>
      <c r="N5" s="409">
        <v>14</v>
      </c>
      <c r="O5" s="409">
        <v>1406</v>
      </c>
      <c r="P5" s="457">
        <f t="shared" ref="P5" si="1">M5/O5</f>
        <v>0.13015647226173541</v>
      </c>
      <c r="Q5" s="409">
        <v>92</v>
      </c>
      <c r="R5" s="409">
        <v>306</v>
      </c>
      <c r="S5" s="414">
        <v>13399516</v>
      </c>
      <c r="T5" s="458">
        <f>SUM(U5:V5)</f>
        <v>16659590</v>
      </c>
      <c r="U5" s="414">
        <v>14321366</v>
      </c>
      <c r="V5" s="414">
        <v>2338224</v>
      </c>
      <c r="W5" s="335">
        <v>0.1404</v>
      </c>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row>
    <row r="6" spans="1:220" s="17" customFormat="1">
      <c r="A6" s="33">
        <v>2018</v>
      </c>
      <c r="B6" s="20">
        <v>53</v>
      </c>
      <c r="C6" s="20">
        <v>35</v>
      </c>
      <c r="D6" s="29">
        <f>SUM(B6:C6)</f>
        <v>88</v>
      </c>
      <c r="E6" s="172">
        <f>ROUND((O6/B6), 0)</f>
        <v>26</v>
      </c>
      <c r="F6" s="172">
        <f>ROUND((O6/D6), 0)</f>
        <v>16</v>
      </c>
      <c r="G6" s="20">
        <v>8</v>
      </c>
      <c r="H6" s="20">
        <v>4.5999999999999996</v>
      </c>
      <c r="I6" s="20">
        <v>57</v>
      </c>
      <c r="J6" s="20">
        <v>196</v>
      </c>
      <c r="K6" s="29">
        <f t="shared" ref="K6" si="2">SUM(I6:J6)</f>
        <v>253</v>
      </c>
      <c r="L6" s="20">
        <v>196</v>
      </c>
      <c r="M6" s="172">
        <f>(I6+L6)</f>
        <v>253</v>
      </c>
      <c r="N6" s="20">
        <v>28</v>
      </c>
      <c r="O6" s="20">
        <v>1366</v>
      </c>
      <c r="P6" s="183">
        <f t="shared" ref="P6" si="3">M6/O6</f>
        <v>0.18521229868228403</v>
      </c>
      <c r="Q6" s="20">
        <v>57</v>
      </c>
      <c r="R6" s="20">
        <v>331</v>
      </c>
      <c r="S6" s="24">
        <v>13023751.790000003</v>
      </c>
      <c r="T6" s="30">
        <f>SUM(U6:V6)</f>
        <v>16143313</v>
      </c>
      <c r="U6" s="24">
        <v>14480855</v>
      </c>
      <c r="V6" s="24">
        <v>1662458</v>
      </c>
      <c r="W6" s="185">
        <f t="shared" ref="W6" si="4">V6/T6</f>
        <v>0.10298121581363132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249" customFormat="1">
      <c r="A7" s="244">
        <v>2017</v>
      </c>
      <c r="B7" s="346">
        <v>53</v>
      </c>
      <c r="C7" s="346">
        <v>31</v>
      </c>
      <c r="D7" s="245">
        <f>SUM(B7:C7)</f>
        <v>84</v>
      </c>
      <c r="E7" s="245">
        <f>ROUND((O7/B7), 0)</f>
        <v>24</v>
      </c>
      <c r="F7" s="245">
        <f>ROUND((O7/D7), 0)</f>
        <v>15</v>
      </c>
      <c r="G7" s="346">
        <v>8</v>
      </c>
      <c r="H7" s="346">
        <v>3.3</v>
      </c>
      <c r="I7" s="346">
        <v>48</v>
      </c>
      <c r="J7" s="346">
        <v>183</v>
      </c>
      <c r="K7" s="245">
        <f>SUM(I7:J7)</f>
        <v>231</v>
      </c>
      <c r="L7" s="346">
        <v>92</v>
      </c>
      <c r="M7" s="246">
        <f>(I7+L7)</f>
        <v>140</v>
      </c>
      <c r="N7" s="347">
        <v>24</v>
      </c>
      <c r="O7" s="347">
        <v>1255</v>
      </c>
      <c r="P7" s="371">
        <f>M7/O7</f>
        <v>0.11155378486055777</v>
      </c>
      <c r="Q7" s="346">
        <v>81</v>
      </c>
      <c r="R7" s="346">
        <v>220</v>
      </c>
      <c r="S7" s="372">
        <v>14248287</v>
      </c>
      <c r="T7" s="247">
        <f>SUM(U7:V7)</f>
        <v>15039177</v>
      </c>
      <c r="U7" s="373">
        <v>13548711</v>
      </c>
      <c r="V7" s="348">
        <v>1490466</v>
      </c>
      <c r="W7" s="248">
        <f>V7/T7</f>
        <v>9.9105556108555676E-2</v>
      </c>
    </row>
    <row r="8" spans="1:220" s="14" customFormat="1">
      <c r="G8"/>
      <c r="H8"/>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row>
    <row r="9" spans="1:220" s="14" customFormat="1">
      <c r="G9"/>
      <c r="H9"/>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row>
    <row r="10" spans="1:220" s="14" customFormat="1">
      <c r="G10"/>
      <c r="H10"/>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row>
    <row r="11" spans="1:220" s="14" customFormat="1">
      <c r="G11"/>
      <c r="H11"/>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row>
    <row r="12" spans="1:220" s="14" customFormat="1">
      <c r="G12"/>
      <c r="H12"/>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row>
    <row r="13" spans="1:220" s="14" customFormat="1">
      <c r="G13"/>
      <c r="H1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row>
    <row r="14" spans="1:220" s="14" customFormat="1">
      <c r="G14"/>
      <c r="H14"/>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row>
    <row r="15" spans="1:220" s="14" customFormat="1">
      <c r="G15"/>
      <c r="H15"/>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row>
    <row r="16" spans="1:220" s="14" customFormat="1">
      <c r="G16"/>
      <c r="H16"/>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row>
    <row r="17" spans="7:73" s="14" customFormat="1">
      <c r="G17"/>
      <c r="H17"/>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row>
    <row r="18" spans="7:73" s="14" customFormat="1">
      <c r="G18"/>
      <c r="H18"/>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row>
    <row r="19" spans="7:73" s="14" customFormat="1">
      <c r="G19"/>
      <c r="H19"/>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row>
    <row r="21" spans="7:73" ht="20.100000000000001" customHeight="1"/>
    <row r="22" spans="7:73" ht="18" customHeight="1"/>
    <row r="23" spans="7:73" ht="17.25" customHeight="1"/>
  </sheetData>
  <printOptions headings="1" gridLines="1"/>
  <pageMargins left="0.5" right="0.5" top="0.5" bottom="0.5" header="0" footer="0"/>
  <pageSetup paperSize="5" scale="67" orientation="landscape"/>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L33"/>
  <sheetViews>
    <sheetView workbookViewId="0">
      <selection activeCell="O29" sqref="O29"/>
    </sheetView>
  </sheetViews>
  <sheetFormatPr defaultColWidth="8.85546875" defaultRowHeight="15"/>
  <cols>
    <col min="1" max="1" width="10.140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28515625" bestFit="1" customWidth="1"/>
    <col min="22" max="22" width="10.85546875" bestFit="1" customWidth="1"/>
    <col min="23" max="23" width="12.85546875" bestFit="1" customWidth="1"/>
    <col min="24" max="59" width="8.85546875" style="376"/>
  </cols>
  <sheetData>
    <row r="1" spans="1:220" s="1" customFormat="1" ht="18.75">
      <c r="A1" s="1" t="s">
        <v>7</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16" customFormat="1">
      <c r="A3" s="6">
        <v>2021</v>
      </c>
      <c r="B3" s="479">
        <v>8</v>
      </c>
      <c r="C3" s="412">
        <v>0.5</v>
      </c>
      <c r="D3" s="521">
        <f>SUM(B3:C3)</f>
        <v>8.5</v>
      </c>
      <c r="E3" s="522">
        <f t="shared" ref="E3" si="0">ROUND((O3/B3), 0)</f>
        <v>10</v>
      </c>
      <c r="F3" s="522">
        <f t="shared" ref="F3" si="1">ROUND((O3/D3), 0)</f>
        <v>10</v>
      </c>
      <c r="G3" s="523">
        <v>8</v>
      </c>
      <c r="H3" s="469">
        <v>0.5</v>
      </c>
      <c r="I3" s="469">
        <f>14+43+2</f>
        <v>59</v>
      </c>
      <c r="J3" s="469">
        <f>4+36</f>
        <v>40</v>
      </c>
      <c r="K3" s="521">
        <f t="shared" ref="K3" si="2">SUM(I3:J3)</f>
        <v>99</v>
      </c>
      <c r="L3" s="469">
        <f>1.6+22</f>
        <v>23.6</v>
      </c>
      <c r="M3" s="429">
        <f>(I3+L3)</f>
        <v>82.6</v>
      </c>
      <c r="N3" s="412">
        <v>7</v>
      </c>
      <c r="O3" s="447">
        <f>14+1.6+43+22+2</f>
        <v>82.6</v>
      </c>
      <c r="P3" s="524">
        <f t="shared" ref="P3" si="3">M3/O3</f>
        <v>1</v>
      </c>
      <c r="Q3" s="412">
        <v>26</v>
      </c>
      <c r="R3" s="523">
        <v>0</v>
      </c>
      <c r="S3" s="445">
        <v>929094.45</v>
      </c>
      <c r="T3" s="431">
        <f t="shared" ref="T3" si="4">SUM(U3:V3)</f>
        <v>1540456</v>
      </c>
      <c r="U3" s="445">
        <v>1093856</v>
      </c>
      <c r="V3" s="445">
        <v>446600</v>
      </c>
      <c r="W3" s="444">
        <f t="shared" ref="W3" si="5">V3/T3</f>
        <v>0.28991415528908321</v>
      </c>
    </row>
    <row r="4" spans="1:220" s="416" customFormat="1">
      <c r="A4" s="6">
        <v>2020</v>
      </c>
      <c r="B4" s="479">
        <v>9</v>
      </c>
      <c r="C4" s="412">
        <v>0.5</v>
      </c>
      <c r="D4" s="521">
        <f>SUM(B4:C4)</f>
        <v>9.5</v>
      </c>
      <c r="E4" s="522">
        <f>ROUND((O4/B4), 0)</f>
        <v>7</v>
      </c>
      <c r="F4" s="522">
        <f>ROUND((O4/D4), 0)</f>
        <v>6</v>
      </c>
      <c r="G4" s="523">
        <v>9</v>
      </c>
      <c r="H4" s="469">
        <v>0.5</v>
      </c>
      <c r="I4" s="469">
        <v>42</v>
      </c>
      <c r="J4" s="469">
        <v>33</v>
      </c>
      <c r="K4" s="521">
        <f t="shared" ref="K4" si="6">SUM(I4:J4)</f>
        <v>75</v>
      </c>
      <c r="L4" s="469">
        <v>18</v>
      </c>
      <c r="M4" s="429">
        <f>(I4+L4)</f>
        <v>60</v>
      </c>
      <c r="N4" s="412">
        <v>3</v>
      </c>
      <c r="O4" s="447">
        <v>60</v>
      </c>
      <c r="P4" s="524">
        <f t="shared" ref="P4" si="7">M4/O4</f>
        <v>1</v>
      </c>
      <c r="Q4" s="412">
        <v>33</v>
      </c>
      <c r="R4" s="523">
        <v>0</v>
      </c>
      <c r="S4" s="445">
        <v>1795702</v>
      </c>
      <c r="T4" s="431">
        <f>SUM(U4:V4)</f>
        <v>2065811</v>
      </c>
      <c r="U4" s="445">
        <v>1319690</v>
      </c>
      <c r="V4" s="445">
        <v>746121</v>
      </c>
      <c r="W4" s="444">
        <f t="shared" ref="W4" si="8">V4/T4</f>
        <v>0.36117582876652315</v>
      </c>
    </row>
    <row r="5" spans="1:220">
      <c r="A5" s="525">
        <v>2019</v>
      </c>
      <c r="B5">
        <v>8</v>
      </c>
      <c r="C5">
        <v>0.5</v>
      </c>
      <c r="D5" s="459">
        <f>SUM(B5:C5)</f>
        <v>8.5</v>
      </c>
      <c r="E5" s="460">
        <f>ROUND((O5/B5), 0)</f>
        <v>8</v>
      </c>
      <c r="F5" s="459">
        <f>ROUND((O5/D5), 0)</f>
        <v>8</v>
      </c>
      <c r="G5" s="461">
        <v>8</v>
      </c>
      <c r="H5" s="461">
        <v>0.5</v>
      </c>
      <c r="I5" s="462">
        <v>47</v>
      </c>
      <c r="J5">
        <v>32</v>
      </c>
      <c r="K5" s="463">
        <f t="shared" ref="K5" si="9">SUM(I5:J5)</f>
        <v>79</v>
      </c>
      <c r="L5" s="462">
        <v>18</v>
      </c>
      <c r="M5" s="463">
        <f>(I5+L5)</f>
        <v>65</v>
      </c>
      <c r="N5" s="462">
        <v>2</v>
      </c>
      <c r="O5" s="462">
        <v>65</v>
      </c>
      <c r="P5" s="464">
        <f t="shared" ref="P5" si="10">M5/O5</f>
        <v>1</v>
      </c>
      <c r="Q5" s="462">
        <v>32</v>
      </c>
      <c r="R5" s="462">
        <v>0</v>
      </c>
      <c r="S5" s="465">
        <v>1576215</v>
      </c>
      <c r="T5" s="466">
        <f>SUM(U5:V5)</f>
        <v>1583968</v>
      </c>
      <c r="U5" s="465">
        <v>1144700</v>
      </c>
      <c r="V5" s="465">
        <v>439268</v>
      </c>
      <c r="W5" s="467">
        <f t="shared" ref="W5" si="11">V5/T5</f>
        <v>0.27732125901533367</v>
      </c>
      <c r="X5"/>
      <c r="Y5"/>
      <c r="Z5"/>
      <c r="AA5"/>
      <c r="AB5"/>
      <c r="AC5"/>
      <c r="AD5"/>
      <c r="AE5"/>
      <c r="AF5"/>
      <c r="AG5"/>
      <c r="AH5"/>
      <c r="AI5"/>
      <c r="AJ5"/>
      <c r="AK5"/>
      <c r="AL5"/>
      <c r="AM5"/>
      <c r="AN5"/>
      <c r="AO5"/>
      <c r="AP5"/>
      <c r="AQ5"/>
      <c r="AR5"/>
      <c r="AS5"/>
      <c r="AT5"/>
      <c r="AU5"/>
      <c r="AV5"/>
      <c r="AW5"/>
      <c r="AX5"/>
      <c r="AY5"/>
      <c r="AZ5"/>
      <c r="BA5"/>
      <c r="BB5"/>
      <c r="BC5"/>
      <c r="BD5"/>
      <c r="BE5"/>
      <c r="BF5"/>
      <c r="BG5"/>
    </row>
    <row r="6" spans="1:220" s="17" customFormat="1">
      <c r="A6" s="33">
        <v>2018</v>
      </c>
      <c r="B6" s="20">
        <v>8</v>
      </c>
      <c r="C6" s="20">
        <v>0.5</v>
      </c>
      <c r="D6" s="29">
        <f>SUM(B6:C6)</f>
        <v>8.5</v>
      </c>
      <c r="E6" s="172">
        <f>ROUND((O6/B6), 0)</f>
        <v>8</v>
      </c>
      <c r="F6" s="172">
        <f>ROUND((O6/D6), 0)</f>
        <v>8</v>
      </c>
      <c r="G6" s="20">
        <v>8</v>
      </c>
      <c r="H6" s="20">
        <v>0.25</v>
      </c>
      <c r="I6" s="20">
        <v>50</v>
      </c>
      <c r="J6" s="20">
        <v>24</v>
      </c>
      <c r="K6" s="29">
        <f t="shared" ref="K6" si="12">SUM(I6:J6)</f>
        <v>74</v>
      </c>
      <c r="L6" s="20">
        <v>15</v>
      </c>
      <c r="M6" s="172">
        <f>(I6+L6)</f>
        <v>65</v>
      </c>
      <c r="N6" s="20">
        <v>4</v>
      </c>
      <c r="O6" s="20">
        <v>65</v>
      </c>
      <c r="P6" s="183">
        <f>M6/O6</f>
        <v>1</v>
      </c>
      <c r="Q6" s="20">
        <v>40</v>
      </c>
      <c r="R6" s="20">
        <v>0</v>
      </c>
      <c r="S6" s="24">
        <v>1629151</v>
      </c>
      <c r="T6" s="30">
        <f>SUM(U6:V6)</f>
        <v>1629151</v>
      </c>
      <c r="U6" s="24">
        <v>1129119</v>
      </c>
      <c r="V6" s="24">
        <v>500032</v>
      </c>
      <c r="W6" s="185">
        <f>V6/T6</f>
        <v>0.30692796432006608</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8</v>
      </c>
      <c r="C7" s="20" t="s">
        <v>168</v>
      </c>
      <c r="D7" s="34">
        <f>SUM(B7:C7)</f>
        <v>8</v>
      </c>
      <c r="E7" s="34">
        <f>ROUND((O7/B7), 0)</f>
        <v>10</v>
      </c>
      <c r="F7" s="34">
        <f>ROUND((O7/D7), 0)</f>
        <v>10</v>
      </c>
      <c r="G7" s="20">
        <v>8</v>
      </c>
      <c r="H7" s="20">
        <v>1.5</v>
      </c>
      <c r="I7" s="20">
        <v>63</v>
      </c>
      <c r="J7" s="20">
        <v>26</v>
      </c>
      <c r="K7" s="34">
        <f>SUM(I7:J7)</f>
        <v>89</v>
      </c>
      <c r="L7" s="20">
        <v>15</v>
      </c>
      <c r="M7" s="36">
        <f>(I7+L7)</f>
        <v>78</v>
      </c>
      <c r="N7" s="344">
        <v>6</v>
      </c>
      <c r="O7" s="344">
        <v>78</v>
      </c>
      <c r="P7" s="183">
        <f t="shared" ref="P7:P22" si="13">M7/O7</f>
        <v>1</v>
      </c>
      <c r="Q7" s="20">
        <v>34</v>
      </c>
      <c r="R7" s="20">
        <v>0</v>
      </c>
      <c r="S7" s="300">
        <v>1295898</v>
      </c>
      <c r="T7" s="35">
        <f>SUM(U7:V7)</f>
        <v>1548602</v>
      </c>
      <c r="U7" s="341">
        <v>1216663</v>
      </c>
      <c r="V7" s="24">
        <v>331939</v>
      </c>
      <c r="W7" s="185">
        <f t="shared" ref="W7:W22" si="14">V7/T7</f>
        <v>0.21434752118362238</v>
      </c>
    </row>
    <row r="8" spans="1:220" s="65" customFormat="1">
      <c r="A8" s="95">
        <v>2016</v>
      </c>
      <c r="B8" s="63">
        <v>7</v>
      </c>
      <c r="C8" s="63">
        <v>1.5</v>
      </c>
      <c r="D8" s="108">
        <f>B8+C8</f>
        <v>8.5</v>
      </c>
      <c r="E8" s="109">
        <f>ROUND((O8/B8), 0)</f>
        <v>10</v>
      </c>
      <c r="F8" s="109">
        <f>ROUND((O8/D8), 0)</f>
        <v>8</v>
      </c>
      <c r="G8" s="83">
        <v>7</v>
      </c>
      <c r="H8" s="83">
        <v>1.5</v>
      </c>
      <c r="I8" s="63">
        <v>51</v>
      </c>
      <c r="J8" s="63">
        <v>30</v>
      </c>
      <c r="K8" s="108">
        <f>I8+J8</f>
        <v>81</v>
      </c>
      <c r="L8" s="63">
        <v>19</v>
      </c>
      <c r="M8" s="109">
        <f>I8+L8</f>
        <v>70</v>
      </c>
      <c r="N8" s="63">
        <v>5</v>
      </c>
      <c r="O8" s="63">
        <v>70</v>
      </c>
      <c r="P8" s="183">
        <f t="shared" si="13"/>
        <v>1</v>
      </c>
      <c r="Q8" s="63">
        <v>33</v>
      </c>
      <c r="R8" s="63">
        <v>0</v>
      </c>
      <c r="S8" s="63">
        <v>1223867</v>
      </c>
      <c r="T8" s="110">
        <f>SUM(U8:V8)</f>
        <v>1241930</v>
      </c>
      <c r="U8" s="63">
        <v>1059165</v>
      </c>
      <c r="V8" s="63">
        <v>182765</v>
      </c>
      <c r="W8" s="185">
        <f t="shared" si="14"/>
        <v>0.14716207837800843</v>
      </c>
    </row>
    <row r="9" spans="1:220" s="105" customFormat="1">
      <c r="A9" s="90">
        <v>2015</v>
      </c>
      <c r="B9" s="91">
        <v>5</v>
      </c>
      <c r="C9" s="91">
        <v>2</v>
      </c>
      <c r="D9" s="81">
        <v>7</v>
      </c>
      <c r="E9" s="81">
        <v>12.4</v>
      </c>
      <c r="F9" s="81">
        <v>8.8000000000000007</v>
      </c>
      <c r="G9" s="111"/>
      <c r="H9" s="111"/>
      <c r="I9" s="91">
        <v>44</v>
      </c>
      <c r="J9" s="91">
        <v>29</v>
      </c>
      <c r="K9" s="81">
        <v>73</v>
      </c>
      <c r="L9" s="91">
        <v>18</v>
      </c>
      <c r="M9" s="81">
        <v>61.89</v>
      </c>
      <c r="N9" s="91">
        <v>5</v>
      </c>
      <c r="O9" s="91">
        <v>61.89</v>
      </c>
      <c r="P9" s="183">
        <f t="shared" si="13"/>
        <v>1</v>
      </c>
      <c r="Q9" s="91">
        <v>26</v>
      </c>
      <c r="R9" s="91">
        <v>0</v>
      </c>
      <c r="S9" s="102">
        <v>994653</v>
      </c>
      <c r="T9" s="103">
        <v>1065863</v>
      </c>
      <c r="U9" s="102">
        <v>795604</v>
      </c>
      <c r="V9" s="102">
        <v>270259</v>
      </c>
      <c r="W9" s="185">
        <f t="shared" si="14"/>
        <v>0.25355885324849442</v>
      </c>
    </row>
    <row r="10" spans="1:220" s="105" customFormat="1">
      <c r="A10" s="90">
        <v>2014</v>
      </c>
      <c r="B10" s="91">
        <v>5</v>
      </c>
      <c r="C10" s="91">
        <v>0</v>
      </c>
      <c r="D10" s="81">
        <v>5</v>
      </c>
      <c r="E10" s="81">
        <v>11.6</v>
      </c>
      <c r="F10" s="81">
        <v>11.6</v>
      </c>
      <c r="G10" s="111"/>
      <c r="H10" s="111"/>
      <c r="I10" s="91">
        <v>39</v>
      </c>
      <c r="J10" s="91">
        <v>30</v>
      </c>
      <c r="K10" s="81">
        <v>69</v>
      </c>
      <c r="L10" s="91">
        <v>19</v>
      </c>
      <c r="M10" s="81">
        <v>58</v>
      </c>
      <c r="N10" s="91">
        <v>2</v>
      </c>
      <c r="O10" s="91">
        <v>58</v>
      </c>
      <c r="P10" s="183">
        <f t="shared" si="13"/>
        <v>1</v>
      </c>
      <c r="Q10" s="91">
        <v>22</v>
      </c>
      <c r="R10" s="91">
        <v>0</v>
      </c>
      <c r="S10" s="102">
        <v>1029558</v>
      </c>
      <c r="T10" s="103">
        <v>1028954</v>
      </c>
      <c r="U10" s="102">
        <v>922516</v>
      </c>
      <c r="V10" s="102">
        <v>106438</v>
      </c>
      <c r="W10" s="185">
        <f t="shared" si="14"/>
        <v>0.10344291387175715</v>
      </c>
    </row>
    <row r="11" spans="1:220" s="71" customFormat="1">
      <c r="A11" s="90">
        <v>2013</v>
      </c>
      <c r="B11" s="353">
        <v>5</v>
      </c>
      <c r="C11" s="353">
        <v>0</v>
      </c>
      <c r="D11" s="108">
        <f>B11+C11</f>
        <v>5</v>
      </c>
      <c r="E11" s="109">
        <f t="shared" ref="E11:E22" si="15">ROUND((O11/B11), 0)</f>
        <v>10</v>
      </c>
      <c r="F11" s="109">
        <f t="shared" ref="F11:F22" si="16">ROUND((O11/D11), 0)</f>
        <v>10</v>
      </c>
      <c r="G11" s="113"/>
      <c r="H11" s="113"/>
      <c r="I11" s="353">
        <v>43</v>
      </c>
      <c r="J11" s="353">
        <v>12</v>
      </c>
      <c r="K11" s="108">
        <f>I11+J11</f>
        <v>55</v>
      </c>
      <c r="L11" s="353">
        <v>7.7</v>
      </c>
      <c r="M11" s="109">
        <f>I11+L11</f>
        <v>50.7</v>
      </c>
      <c r="N11" s="353">
        <v>1</v>
      </c>
      <c r="O11" s="353">
        <v>50.7</v>
      </c>
      <c r="P11" s="183">
        <f t="shared" si="13"/>
        <v>1</v>
      </c>
      <c r="Q11" s="353">
        <v>27</v>
      </c>
      <c r="R11" s="353">
        <v>0</v>
      </c>
      <c r="S11" s="112">
        <v>873854</v>
      </c>
      <c r="T11" s="110">
        <f t="shared" ref="T11:T22" si="17">SUM(U11:V11)</f>
        <v>888794</v>
      </c>
      <c r="U11" s="112">
        <v>732903</v>
      </c>
      <c r="V11" s="112">
        <v>155891</v>
      </c>
      <c r="W11" s="185">
        <f t="shared" si="14"/>
        <v>0.17539609853351845</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row>
    <row r="12" spans="1:220" s="71" customFormat="1">
      <c r="A12" s="90">
        <v>2012</v>
      </c>
      <c r="B12" s="353">
        <v>5</v>
      </c>
      <c r="C12" s="353">
        <v>0.5</v>
      </c>
      <c r="D12" s="108">
        <f>B12+C12</f>
        <v>5.5</v>
      </c>
      <c r="E12" s="109">
        <f t="shared" si="15"/>
        <v>12</v>
      </c>
      <c r="F12" s="109">
        <f t="shared" si="16"/>
        <v>11</v>
      </c>
      <c r="G12" s="113"/>
      <c r="H12" s="113"/>
      <c r="I12" s="353">
        <v>52</v>
      </c>
      <c r="J12" s="353">
        <v>10</v>
      </c>
      <c r="K12" s="108">
        <f>I12+J12</f>
        <v>62</v>
      </c>
      <c r="L12" s="353">
        <v>7.75</v>
      </c>
      <c r="M12" s="109">
        <f>I12+L12</f>
        <v>59.75</v>
      </c>
      <c r="N12" s="353">
        <v>1</v>
      </c>
      <c r="O12" s="353">
        <v>59.75</v>
      </c>
      <c r="P12" s="183">
        <f t="shared" si="13"/>
        <v>1</v>
      </c>
      <c r="Q12" s="353">
        <v>22</v>
      </c>
      <c r="R12" s="353">
        <v>0</v>
      </c>
      <c r="S12" s="112">
        <v>791190</v>
      </c>
      <c r="T12" s="110">
        <f t="shared" si="17"/>
        <v>792236</v>
      </c>
      <c r="U12" s="112">
        <v>713607</v>
      </c>
      <c r="V12" s="112">
        <v>78629</v>
      </c>
      <c r="W12" s="185">
        <f t="shared" si="14"/>
        <v>9.9249466068191808E-2</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row>
    <row r="13" spans="1:220" s="71" customFormat="1">
      <c r="A13" s="90">
        <v>2011</v>
      </c>
      <c r="B13" s="353">
        <v>6.5</v>
      </c>
      <c r="C13" s="353">
        <v>0</v>
      </c>
      <c r="D13" s="108">
        <f t="shared" ref="D13:D22" si="18">SUM(B13:C13)</f>
        <v>6.5</v>
      </c>
      <c r="E13" s="109">
        <f t="shared" si="15"/>
        <v>8</v>
      </c>
      <c r="F13" s="109">
        <f t="shared" si="16"/>
        <v>8</v>
      </c>
      <c r="G13" s="113"/>
      <c r="H13" s="113"/>
      <c r="I13" s="353">
        <v>45</v>
      </c>
      <c r="J13" s="353">
        <v>14</v>
      </c>
      <c r="K13" s="108">
        <f t="shared" ref="K13:K22" si="19">SUM(I13:J13)</f>
        <v>59</v>
      </c>
      <c r="L13" s="353">
        <v>7.4</v>
      </c>
      <c r="M13" s="109">
        <f t="shared" ref="M13:M22" si="20">(I13+L13)</f>
        <v>52.4</v>
      </c>
      <c r="N13" s="353">
        <v>3</v>
      </c>
      <c r="O13" s="353">
        <v>52.4</v>
      </c>
      <c r="P13" s="183">
        <f t="shared" si="13"/>
        <v>1</v>
      </c>
      <c r="Q13" s="353">
        <v>46</v>
      </c>
      <c r="R13" s="353">
        <v>0</v>
      </c>
      <c r="S13" s="112">
        <v>1028474</v>
      </c>
      <c r="T13" s="110">
        <f t="shared" si="17"/>
        <v>1121585.6099999999</v>
      </c>
      <c r="U13" s="112">
        <v>837831.53</v>
      </c>
      <c r="V13" s="112">
        <v>283754.07999999996</v>
      </c>
      <c r="W13" s="185">
        <f t="shared" si="14"/>
        <v>0.25299368810553835</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row>
    <row r="14" spans="1:220" s="71" customFormat="1">
      <c r="A14" s="90">
        <v>2010</v>
      </c>
      <c r="B14" s="353">
        <v>6.5</v>
      </c>
      <c r="C14" s="353">
        <v>0</v>
      </c>
      <c r="D14" s="108">
        <f t="shared" si="18"/>
        <v>6.5</v>
      </c>
      <c r="E14" s="109">
        <f t="shared" si="15"/>
        <v>10</v>
      </c>
      <c r="F14" s="109">
        <f t="shared" si="16"/>
        <v>10</v>
      </c>
      <c r="G14" s="113"/>
      <c r="H14" s="113"/>
      <c r="I14" s="353">
        <v>50</v>
      </c>
      <c r="J14" s="353">
        <v>29</v>
      </c>
      <c r="K14" s="108">
        <f t="shared" si="19"/>
        <v>79</v>
      </c>
      <c r="L14" s="353">
        <v>17.89</v>
      </c>
      <c r="M14" s="109">
        <f t="shared" si="20"/>
        <v>67.89</v>
      </c>
      <c r="N14" s="353">
        <v>2</v>
      </c>
      <c r="O14" s="353">
        <v>67.89</v>
      </c>
      <c r="P14" s="183">
        <f t="shared" si="13"/>
        <v>1</v>
      </c>
      <c r="Q14" s="353">
        <v>56</v>
      </c>
      <c r="R14" s="353">
        <v>0</v>
      </c>
      <c r="S14" s="112">
        <v>1610160</v>
      </c>
      <c r="T14" s="110">
        <f t="shared" si="17"/>
        <v>1804298</v>
      </c>
      <c r="U14" s="112">
        <v>782347</v>
      </c>
      <c r="V14" s="112">
        <v>1021951</v>
      </c>
      <c r="W14" s="185">
        <f t="shared" si="14"/>
        <v>0.56639812270478607</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row>
    <row r="15" spans="1:220" s="71" customFormat="1">
      <c r="A15" s="90">
        <v>2009</v>
      </c>
      <c r="B15" s="353">
        <v>6.5</v>
      </c>
      <c r="C15" s="353">
        <v>0</v>
      </c>
      <c r="D15" s="108">
        <f t="shared" si="18"/>
        <v>6.5</v>
      </c>
      <c r="E15" s="109">
        <f t="shared" si="15"/>
        <v>14</v>
      </c>
      <c r="F15" s="109">
        <f t="shared" si="16"/>
        <v>14</v>
      </c>
      <c r="G15" s="113"/>
      <c r="H15" s="113"/>
      <c r="I15" s="353">
        <v>53</v>
      </c>
      <c r="J15" s="353">
        <v>60</v>
      </c>
      <c r="K15" s="108">
        <f t="shared" si="19"/>
        <v>113</v>
      </c>
      <c r="L15" s="353">
        <v>36.32</v>
      </c>
      <c r="M15" s="109">
        <f t="shared" si="20"/>
        <v>89.32</v>
      </c>
      <c r="N15" s="353">
        <v>4</v>
      </c>
      <c r="O15" s="353">
        <v>89.32</v>
      </c>
      <c r="P15" s="183">
        <f t="shared" si="13"/>
        <v>1</v>
      </c>
      <c r="Q15" s="353">
        <v>32</v>
      </c>
      <c r="R15" s="353">
        <v>0</v>
      </c>
      <c r="S15" s="112">
        <v>1391087.76</v>
      </c>
      <c r="T15" s="110">
        <f t="shared" si="17"/>
        <v>2146555</v>
      </c>
      <c r="U15" s="112">
        <v>660825</v>
      </c>
      <c r="V15" s="112">
        <v>1485730</v>
      </c>
      <c r="W15" s="185">
        <f t="shared" si="14"/>
        <v>0.6921462529494935</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row>
    <row r="16" spans="1:220" s="71" customFormat="1">
      <c r="A16" s="90">
        <v>2008</v>
      </c>
      <c r="B16" s="353">
        <v>6.25</v>
      </c>
      <c r="C16" s="353">
        <v>0</v>
      </c>
      <c r="D16" s="108">
        <f t="shared" si="18"/>
        <v>6.25</v>
      </c>
      <c r="E16" s="109">
        <f t="shared" si="15"/>
        <v>13</v>
      </c>
      <c r="F16" s="109">
        <f t="shared" si="16"/>
        <v>13</v>
      </c>
      <c r="G16" s="113"/>
      <c r="H16" s="113"/>
      <c r="I16" s="353">
        <v>55</v>
      </c>
      <c r="J16" s="353">
        <v>40</v>
      </c>
      <c r="K16" s="108">
        <f t="shared" si="19"/>
        <v>95</v>
      </c>
      <c r="L16" s="353">
        <v>23.18</v>
      </c>
      <c r="M16" s="109">
        <f t="shared" si="20"/>
        <v>78.180000000000007</v>
      </c>
      <c r="N16" s="353">
        <v>3</v>
      </c>
      <c r="O16" s="353">
        <v>84</v>
      </c>
      <c r="P16" s="183">
        <f t="shared" si="13"/>
        <v>0.93071428571428583</v>
      </c>
      <c r="Q16" s="353">
        <v>30</v>
      </c>
      <c r="R16" s="353">
        <v>0</v>
      </c>
      <c r="S16" s="112">
        <v>1097753</v>
      </c>
      <c r="T16" s="110">
        <f t="shared" si="17"/>
        <v>2485232</v>
      </c>
      <c r="U16" s="112">
        <v>655568</v>
      </c>
      <c r="V16" s="112">
        <v>1829664</v>
      </c>
      <c r="W16" s="185">
        <f t="shared" si="14"/>
        <v>0.7362145666883414</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row>
    <row r="17" spans="1:59" s="71" customFormat="1">
      <c r="A17" s="90">
        <v>2007</v>
      </c>
      <c r="B17" s="353">
        <v>6.25</v>
      </c>
      <c r="C17" s="353">
        <v>1.5</v>
      </c>
      <c r="D17" s="109">
        <f t="shared" si="18"/>
        <v>7.75</v>
      </c>
      <c r="E17" s="109">
        <f t="shared" si="15"/>
        <v>9</v>
      </c>
      <c r="F17" s="109">
        <f t="shared" si="16"/>
        <v>8</v>
      </c>
      <c r="G17" s="113"/>
      <c r="H17" s="113"/>
      <c r="I17" s="353">
        <v>45</v>
      </c>
      <c r="J17" s="353">
        <v>29</v>
      </c>
      <c r="K17" s="194">
        <f t="shared" si="19"/>
        <v>74</v>
      </c>
      <c r="L17" s="353">
        <v>14.11</v>
      </c>
      <c r="M17" s="109">
        <f t="shared" si="20"/>
        <v>59.11</v>
      </c>
      <c r="N17" s="353">
        <v>5</v>
      </c>
      <c r="O17" s="353">
        <v>59</v>
      </c>
      <c r="P17" s="183">
        <f t="shared" si="13"/>
        <v>1.0018644067796609</v>
      </c>
      <c r="Q17" s="353">
        <v>25</v>
      </c>
      <c r="R17" s="353">
        <v>0</v>
      </c>
      <c r="S17" s="192">
        <v>560220</v>
      </c>
      <c r="T17" s="110">
        <f t="shared" si="17"/>
        <v>1570289</v>
      </c>
      <c r="U17" s="192">
        <v>529595</v>
      </c>
      <c r="V17" s="250">
        <v>1040694</v>
      </c>
      <c r="W17" s="185">
        <f t="shared" si="14"/>
        <v>0.66274042548855661</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row>
    <row r="18" spans="1:59" s="71" customFormat="1">
      <c r="A18" s="90">
        <v>2006</v>
      </c>
      <c r="B18" s="353">
        <v>3</v>
      </c>
      <c r="C18" s="353">
        <v>6</v>
      </c>
      <c r="D18" s="109">
        <f t="shared" si="18"/>
        <v>9</v>
      </c>
      <c r="E18" s="109">
        <f t="shared" si="15"/>
        <v>18</v>
      </c>
      <c r="F18" s="109">
        <f t="shared" si="16"/>
        <v>6</v>
      </c>
      <c r="G18" s="113"/>
      <c r="H18" s="113"/>
      <c r="I18" s="353">
        <v>42</v>
      </c>
      <c r="J18" s="353">
        <v>24</v>
      </c>
      <c r="K18" s="194">
        <f t="shared" si="19"/>
        <v>66</v>
      </c>
      <c r="L18" s="353">
        <v>11</v>
      </c>
      <c r="M18" s="109">
        <f t="shared" si="20"/>
        <v>53</v>
      </c>
      <c r="N18" s="353">
        <v>2</v>
      </c>
      <c r="O18" s="353">
        <v>54</v>
      </c>
      <c r="P18" s="183">
        <f t="shared" si="13"/>
        <v>0.98148148148148151</v>
      </c>
      <c r="Q18" s="353">
        <v>44</v>
      </c>
      <c r="R18" s="353">
        <v>0</v>
      </c>
      <c r="S18" s="192">
        <v>1039525</v>
      </c>
      <c r="T18" s="110">
        <f t="shared" si="17"/>
        <v>1070731</v>
      </c>
      <c r="U18" s="192">
        <v>722618</v>
      </c>
      <c r="V18" s="192">
        <v>348113</v>
      </c>
      <c r="W18" s="185">
        <f t="shared" si="14"/>
        <v>0.32511713959902161</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row>
    <row r="19" spans="1:59" s="71" customFormat="1">
      <c r="A19" s="90">
        <v>2005</v>
      </c>
      <c r="B19" s="353">
        <v>5</v>
      </c>
      <c r="C19" s="353">
        <v>3</v>
      </c>
      <c r="D19" s="109">
        <f t="shared" si="18"/>
        <v>8</v>
      </c>
      <c r="E19" s="109">
        <f t="shared" si="15"/>
        <v>13</v>
      </c>
      <c r="F19" s="109">
        <f t="shared" si="16"/>
        <v>8</v>
      </c>
      <c r="G19" s="113"/>
      <c r="H19" s="113"/>
      <c r="I19" s="353">
        <v>56</v>
      </c>
      <c r="J19" s="353">
        <v>24</v>
      </c>
      <c r="K19" s="194">
        <f t="shared" si="19"/>
        <v>80</v>
      </c>
      <c r="L19" s="353">
        <v>7</v>
      </c>
      <c r="M19" s="109">
        <f t="shared" si="20"/>
        <v>63</v>
      </c>
      <c r="N19" s="353">
        <v>5</v>
      </c>
      <c r="O19" s="353">
        <v>63</v>
      </c>
      <c r="P19" s="183">
        <f t="shared" si="13"/>
        <v>1</v>
      </c>
      <c r="Q19" s="353">
        <v>29</v>
      </c>
      <c r="R19" s="353">
        <v>0</v>
      </c>
      <c r="S19" s="192">
        <v>1005171</v>
      </c>
      <c r="T19" s="110">
        <f t="shared" si="17"/>
        <v>1009932</v>
      </c>
      <c r="U19" s="192">
        <v>679514</v>
      </c>
      <c r="V19" s="192">
        <v>330418</v>
      </c>
      <c r="W19" s="185">
        <f t="shared" si="14"/>
        <v>0.32716856184376769</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row>
    <row r="20" spans="1:59" s="71" customFormat="1">
      <c r="A20" s="90">
        <v>2004</v>
      </c>
      <c r="B20" s="195">
        <v>5</v>
      </c>
      <c r="C20" s="195">
        <v>1</v>
      </c>
      <c r="D20" s="109">
        <f t="shared" si="18"/>
        <v>6</v>
      </c>
      <c r="E20" s="109">
        <f t="shared" si="15"/>
        <v>12</v>
      </c>
      <c r="F20" s="109">
        <f t="shared" si="16"/>
        <v>10</v>
      </c>
      <c r="G20" s="113"/>
      <c r="H20" s="113"/>
      <c r="I20" s="195">
        <v>43</v>
      </c>
      <c r="J20" s="195">
        <v>41</v>
      </c>
      <c r="K20" s="194">
        <f t="shared" si="19"/>
        <v>84</v>
      </c>
      <c r="L20" s="193">
        <v>16.18</v>
      </c>
      <c r="M20" s="109">
        <f t="shared" si="20"/>
        <v>59.18</v>
      </c>
      <c r="N20" s="195">
        <v>5</v>
      </c>
      <c r="O20" s="207">
        <v>59.18</v>
      </c>
      <c r="P20" s="183">
        <f t="shared" si="13"/>
        <v>1</v>
      </c>
      <c r="Q20" s="195">
        <v>29</v>
      </c>
      <c r="R20" s="353">
        <v>0</v>
      </c>
      <c r="S20" s="192">
        <v>854056</v>
      </c>
      <c r="T20" s="110">
        <f t="shared" si="17"/>
        <v>845722</v>
      </c>
      <c r="U20" s="192">
        <v>765831</v>
      </c>
      <c r="V20" s="192">
        <v>79891</v>
      </c>
      <c r="W20" s="185">
        <f t="shared" si="14"/>
        <v>9.44648477868614E-2</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row>
    <row r="21" spans="1:59" s="71" customFormat="1">
      <c r="A21" s="90">
        <v>2003</v>
      </c>
      <c r="B21" s="195">
        <v>6</v>
      </c>
      <c r="C21" s="195">
        <v>1</v>
      </c>
      <c r="D21" s="194">
        <f t="shared" si="18"/>
        <v>7</v>
      </c>
      <c r="E21" s="109">
        <f t="shared" si="15"/>
        <v>9</v>
      </c>
      <c r="F21" s="109">
        <f t="shared" si="16"/>
        <v>8</v>
      </c>
      <c r="G21" s="113"/>
      <c r="H21" s="113"/>
      <c r="I21" s="195">
        <v>30</v>
      </c>
      <c r="J21" s="195">
        <v>60</v>
      </c>
      <c r="K21" s="194">
        <f t="shared" si="19"/>
        <v>90</v>
      </c>
      <c r="L21" s="195">
        <f>ROUND(24.66, 0)</f>
        <v>25</v>
      </c>
      <c r="M21" s="109">
        <f t="shared" si="20"/>
        <v>55</v>
      </c>
      <c r="N21" s="195">
        <v>2</v>
      </c>
      <c r="O21" s="195">
        <f>ROUND(54.66, 0)</f>
        <v>55</v>
      </c>
      <c r="P21" s="183">
        <f t="shared" si="13"/>
        <v>1</v>
      </c>
      <c r="Q21" s="195">
        <v>40</v>
      </c>
      <c r="R21" s="353">
        <v>0</v>
      </c>
      <c r="S21" s="192">
        <v>893126</v>
      </c>
      <c r="T21" s="110">
        <f t="shared" si="17"/>
        <v>903179</v>
      </c>
      <c r="U21" s="192">
        <v>799872</v>
      </c>
      <c r="V21" s="192">
        <v>103307</v>
      </c>
      <c r="W21" s="185">
        <f t="shared" si="14"/>
        <v>0.11438153455738009</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row>
    <row r="22" spans="1:59" s="71" customFormat="1">
      <c r="A22" s="90">
        <v>2002</v>
      </c>
      <c r="B22" s="195">
        <v>6</v>
      </c>
      <c r="C22" s="195">
        <f>ROUND(2.33, 0)</f>
        <v>2</v>
      </c>
      <c r="D22" s="194">
        <f t="shared" si="18"/>
        <v>8</v>
      </c>
      <c r="E22" s="109">
        <f t="shared" si="15"/>
        <v>10</v>
      </c>
      <c r="F22" s="109">
        <f t="shared" si="16"/>
        <v>7</v>
      </c>
      <c r="G22" s="113"/>
      <c r="H22" s="113"/>
      <c r="I22" s="195">
        <v>32</v>
      </c>
      <c r="J22" s="195">
        <v>53</v>
      </c>
      <c r="K22" s="194">
        <f t="shared" si="19"/>
        <v>85</v>
      </c>
      <c r="L22" s="195">
        <f>ROUND(27, 0)</f>
        <v>27</v>
      </c>
      <c r="M22" s="109">
        <f t="shared" si="20"/>
        <v>59</v>
      </c>
      <c r="N22" s="195">
        <v>6</v>
      </c>
      <c r="O22" s="195">
        <v>59</v>
      </c>
      <c r="P22" s="183">
        <f t="shared" si="13"/>
        <v>1</v>
      </c>
      <c r="Q22" s="195">
        <v>34</v>
      </c>
      <c r="R22" s="353">
        <v>0</v>
      </c>
      <c r="S22" s="192">
        <v>708376</v>
      </c>
      <c r="T22" s="110">
        <f t="shared" si="17"/>
        <v>713475</v>
      </c>
      <c r="U22" s="192">
        <v>643306</v>
      </c>
      <c r="V22" s="192">
        <v>70169</v>
      </c>
      <c r="W22" s="185">
        <f t="shared" si="14"/>
        <v>9.8348225235642447E-2</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row>
    <row r="23" spans="1:59" s="14" customFormat="1" ht="13.5" customHeight="1">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row>
    <row r="24" spans="1:59" s="14" customFormat="1">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row>
    <row r="25" spans="1:59" s="14" customFormat="1">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row>
    <row r="26" spans="1:59" s="14" customFormat="1">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row>
    <row r="27" spans="1:59"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row>
    <row r="28" spans="1:59"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row>
    <row r="29" spans="1:59"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row>
    <row r="30" spans="1:59"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row>
    <row r="31" spans="1:59"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row>
    <row r="32" spans="1:59"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row>
    <row r="33" spans="24:59"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row>
  </sheetData>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L32"/>
  <sheetViews>
    <sheetView workbookViewId="0">
      <selection activeCell="F27" sqref="F27"/>
    </sheetView>
  </sheetViews>
  <sheetFormatPr defaultColWidth="8.85546875" defaultRowHeight="15"/>
  <cols>
    <col min="1" max="1" width="11.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3"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 min="24" max="61" width="8.85546875" style="376"/>
  </cols>
  <sheetData>
    <row r="1" spans="1:220" s="1" customFormat="1" ht="18.75">
      <c r="A1" s="1" t="s">
        <v>50</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17.5</v>
      </c>
      <c r="C3" s="409">
        <v>14.2</v>
      </c>
      <c r="D3" s="410">
        <f>SUM(B3:C3)</f>
        <v>31.7</v>
      </c>
      <c r="E3" s="411">
        <f t="shared" ref="E3" si="0">ROUND((O3/B3), 0)</f>
        <v>24</v>
      </c>
      <c r="F3" s="411">
        <f t="shared" ref="F3" si="1">ROUND((O3/D3), 0)</f>
        <v>13</v>
      </c>
      <c r="G3" s="409">
        <v>13</v>
      </c>
      <c r="H3" s="409">
        <v>11.5</v>
      </c>
      <c r="I3" s="409">
        <v>112</v>
      </c>
      <c r="J3" s="409">
        <v>273</v>
      </c>
      <c r="K3" s="410">
        <f t="shared" ref="K3" si="2">SUM(I3:J3)</f>
        <v>385</v>
      </c>
      <c r="L3" s="409">
        <v>176</v>
      </c>
      <c r="M3" s="411">
        <f>(I3+L3)</f>
        <v>288</v>
      </c>
      <c r="N3" s="409">
        <v>58</v>
      </c>
      <c r="O3" s="409">
        <v>426</v>
      </c>
      <c r="P3" s="413">
        <f t="shared" ref="P3" si="3">M3/O3</f>
        <v>0.676056338028169</v>
      </c>
      <c r="Q3" s="409">
        <v>178</v>
      </c>
      <c r="R3" s="409">
        <v>88</v>
      </c>
      <c r="S3" s="414">
        <v>9170260</v>
      </c>
      <c r="T3" s="415">
        <f>SUM(U3:V3)</f>
        <v>10772488</v>
      </c>
      <c r="U3" s="414">
        <v>7127507</v>
      </c>
      <c r="V3" s="414">
        <v>3644981</v>
      </c>
      <c r="W3" s="335">
        <f t="shared" ref="W3" si="4">V3/T3</f>
        <v>0.33836018197467477</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18</v>
      </c>
      <c r="C4" s="409">
        <v>9.8000000000000007</v>
      </c>
      <c r="D4" s="410">
        <f>SUM(B4:C4)</f>
        <v>27.8</v>
      </c>
      <c r="E4" s="411">
        <f>ROUND((O4/B4), 0)</f>
        <v>26</v>
      </c>
      <c r="F4" s="411">
        <f>ROUND((O4/D4), 0)</f>
        <v>17</v>
      </c>
      <c r="G4" s="409">
        <v>12</v>
      </c>
      <c r="H4" s="409">
        <v>6.2</v>
      </c>
      <c r="I4" s="409">
        <v>160</v>
      </c>
      <c r="J4" s="409">
        <v>276</v>
      </c>
      <c r="K4" s="410">
        <f t="shared" ref="K4" si="5">SUM(I4:J4)</f>
        <v>436</v>
      </c>
      <c r="L4" s="409">
        <v>176</v>
      </c>
      <c r="M4" s="411">
        <f>(I4+L4)</f>
        <v>336</v>
      </c>
      <c r="N4" s="409">
        <v>48</v>
      </c>
      <c r="O4" s="409">
        <v>468</v>
      </c>
      <c r="P4" s="413">
        <f t="shared" ref="P4" si="6">M4/O4</f>
        <v>0.71794871794871795</v>
      </c>
      <c r="Q4" s="409">
        <v>181</v>
      </c>
      <c r="R4" s="409">
        <v>58</v>
      </c>
      <c r="S4" s="414">
        <v>9930307</v>
      </c>
      <c r="T4" s="415">
        <v>10796831</v>
      </c>
      <c r="U4" s="414">
        <v>7135984</v>
      </c>
      <c r="V4" s="414">
        <v>3660847</v>
      </c>
      <c r="W4" s="335">
        <f t="shared" ref="W4" si="7">V4/T4</f>
        <v>0.33906680580625925</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18</v>
      </c>
      <c r="C5" s="409">
        <v>15</v>
      </c>
      <c r="D5" s="410">
        <f>SUM(B5:C5)</f>
        <v>33</v>
      </c>
      <c r="E5" s="411">
        <f>ROUND((O5/B5), 0)</f>
        <v>26</v>
      </c>
      <c r="F5" s="411">
        <f>ROUND((O5/D5), 0)</f>
        <v>14</v>
      </c>
      <c r="G5" s="409">
        <v>13</v>
      </c>
      <c r="H5" s="409">
        <v>11</v>
      </c>
      <c r="I5" s="409">
        <v>150</v>
      </c>
      <c r="J5" s="409">
        <v>305</v>
      </c>
      <c r="K5" s="410">
        <f>SUM(I5:J5)</f>
        <v>455</v>
      </c>
      <c r="L5" s="409">
        <v>191</v>
      </c>
      <c r="M5" s="411">
        <f>(I5+L5)</f>
        <v>341</v>
      </c>
      <c r="N5" s="409">
        <v>39</v>
      </c>
      <c r="O5" s="409">
        <v>470.5</v>
      </c>
      <c r="P5" s="413">
        <f>M5/O5</f>
        <v>0.72476089266737509</v>
      </c>
      <c r="Q5" s="409">
        <v>156</v>
      </c>
      <c r="R5" s="409">
        <v>52</v>
      </c>
      <c r="S5" s="414">
        <v>10585413</v>
      </c>
      <c r="T5" s="415">
        <v>11278114</v>
      </c>
      <c r="U5" s="414">
        <v>7456050</v>
      </c>
      <c r="V5" s="414">
        <v>3822064</v>
      </c>
      <c r="W5" s="335">
        <f>V5/T5</f>
        <v>0.33889212327522139</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18</v>
      </c>
      <c r="C6" s="20">
        <v>6.67</v>
      </c>
      <c r="D6" s="29">
        <f>SUM(B6:C6)</f>
        <v>24.67</v>
      </c>
      <c r="E6" s="172">
        <f>ROUND((O6/B6), 0)</f>
        <v>16</v>
      </c>
      <c r="F6" s="172">
        <f>ROUND((O6/D6), 0)</f>
        <v>12</v>
      </c>
      <c r="G6" s="20">
        <v>13</v>
      </c>
      <c r="H6" s="20">
        <v>4.67</v>
      </c>
      <c r="I6" s="20">
        <v>160</v>
      </c>
      <c r="J6" s="20">
        <v>318</v>
      </c>
      <c r="K6" s="29">
        <f t="shared" ref="K6" si="8">SUM(I6:J6)</f>
        <v>478</v>
      </c>
      <c r="L6" s="20">
        <v>104.83199999999999</v>
      </c>
      <c r="M6" s="172">
        <f>(I6+L6)</f>
        <v>264.83199999999999</v>
      </c>
      <c r="N6" s="20">
        <v>40</v>
      </c>
      <c r="O6" s="20">
        <v>284.98200000000003</v>
      </c>
      <c r="P6" s="183">
        <f>M6/O6</f>
        <v>0.92929377995803231</v>
      </c>
      <c r="Q6" s="20">
        <v>198</v>
      </c>
      <c r="R6" s="20">
        <v>83</v>
      </c>
      <c r="S6" s="24">
        <v>11057338</v>
      </c>
      <c r="T6" s="30">
        <f>SUM(U6:V6)</f>
        <v>9941516</v>
      </c>
      <c r="U6" s="24">
        <v>6077275</v>
      </c>
      <c r="V6" s="24">
        <v>3864241</v>
      </c>
      <c r="W6" s="185">
        <f>V6/T6</f>
        <v>0.38869735762634189</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22</v>
      </c>
      <c r="C7" s="20">
        <v>9</v>
      </c>
      <c r="D7" s="34">
        <f>SUM(B7:C7)</f>
        <v>31</v>
      </c>
      <c r="E7" s="34">
        <f>ROUND((O7/B7), 0)</f>
        <v>14</v>
      </c>
      <c r="F7" s="34">
        <f>ROUND((O7/D7), 0)</f>
        <v>10</v>
      </c>
      <c r="G7" s="20">
        <v>16</v>
      </c>
      <c r="H7" s="20">
        <v>6.08</v>
      </c>
      <c r="I7" s="20">
        <v>159</v>
      </c>
      <c r="J7" s="20">
        <v>372</v>
      </c>
      <c r="K7" s="34">
        <f>SUM(I7:J7)</f>
        <v>531</v>
      </c>
      <c r="L7" s="20">
        <v>121.771</v>
      </c>
      <c r="M7" s="36">
        <f>(I7+L7)</f>
        <v>280.77100000000002</v>
      </c>
      <c r="N7" s="344">
        <v>21</v>
      </c>
      <c r="O7" s="344">
        <v>312.21899999999999</v>
      </c>
      <c r="P7" s="183">
        <f t="shared" ref="P7:P22" si="9">M7/O7</f>
        <v>0.89927582882527979</v>
      </c>
      <c r="Q7" s="20">
        <v>216</v>
      </c>
      <c r="R7" s="20">
        <v>105</v>
      </c>
      <c r="S7" s="300">
        <v>11313714</v>
      </c>
      <c r="T7" s="35">
        <f>SUM(U7:V7)</f>
        <v>11297128</v>
      </c>
      <c r="U7" s="341">
        <v>5425896</v>
      </c>
      <c r="V7" s="24">
        <v>5871232</v>
      </c>
      <c r="W7" s="185">
        <f t="shared" ref="W7:W22" si="10">V7/T7</f>
        <v>0.51971014225916534</v>
      </c>
    </row>
    <row r="8" spans="1:220" s="65" customFormat="1">
      <c r="A8" s="95">
        <v>2016</v>
      </c>
      <c r="B8" s="63">
        <v>21</v>
      </c>
      <c r="C8" s="63">
        <v>7.6</v>
      </c>
      <c r="D8" s="81">
        <f>B8+C8</f>
        <v>28.6</v>
      </c>
      <c r="E8" s="82">
        <f>ROUND((O8/B8), 0)</f>
        <v>19</v>
      </c>
      <c r="F8" s="82">
        <f>ROUND((O8/D8), 0)</f>
        <v>14</v>
      </c>
      <c r="G8" s="63">
        <v>15</v>
      </c>
      <c r="H8" s="63">
        <v>3.4</v>
      </c>
      <c r="I8" s="63">
        <v>158</v>
      </c>
      <c r="J8" s="63">
        <v>428</v>
      </c>
      <c r="K8" s="81">
        <f>I8+J8</f>
        <v>586</v>
      </c>
      <c r="L8" s="63">
        <v>140.30000000000001</v>
      </c>
      <c r="M8" s="109">
        <f>I8+L8</f>
        <v>298.3</v>
      </c>
      <c r="N8" s="63">
        <v>69</v>
      </c>
      <c r="O8" s="63">
        <v>399</v>
      </c>
      <c r="P8" s="183">
        <f t="shared" si="9"/>
        <v>0.74761904761904763</v>
      </c>
      <c r="Q8" s="63">
        <v>231</v>
      </c>
      <c r="R8" s="63">
        <v>65</v>
      </c>
      <c r="S8" s="64">
        <v>9492870</v>
      </c>
      <c r="T8" s="110">
        <f>SUM(U8:V8)</f>
        <v>10883951</v>
      </c>
      <c r="U8" s="64">
        <v>6209248</v>
      </c>
      <c r="V8" s="64">
        <v>4674703</v>
      </c>
      <c r="W8" s="185">
        <f t="shared" si="10"/>
        <v>0.42950423058685216</v>
      </c>
    </row>
    <row r="9" spans="1:220" s="105" customFormat="1">
      <c r="A9" s="90">
        <v>2015</v>
      </c>
      <c r="B9" s="91">
        <v>15</v>
      </c>
      <c r="C9" s="91">
        <v>10.7</v>
      </c>
      <c r="D9" s="81">
        <v>25.7</v>
      </c>
      <c r="E9" s="81">
        <v>29</v>
      </c>
      <c r="F9" s="81">
        <v>17</v>
      </c>
      <c r="G9" s="111"/>
      <c r="H9" s="111"/>
      <c r="I9" s="166">
        <v>190</v>
      </c>
      <c r="J9" s="166">
        <v>429</v>
      </c>
      <c r="K9" s="167">
        <v>619</v>
      </c>
      <c r="L9" s="166">
        <v>147</v>
      </c>
      <c r="M9" s="167">
        <v>337</v>
      </c>
      <c r="N9" s="91">
        <v>49</v>
      </c>
      <c r="O9" s="91">
        <v>437</v>
      </c>
      <c r="P9" s="183">
        <f t="shared" si="9"/>
        <v>0.77116704805491987</v>
      </c>
      <c r="Q9" s="91">
        <v>334</v>
      </c>
      <c r="R9" s="91">
        <v>135</v>
      </c>
      <c r="S9" s="102">
        <v>5342115</v>
      </c>
      <c r="T9" s="103">
        <v>10057281</v>
      </c>
      <c r="U9" s="102">
        <v>5951049</v>
      </c>
      <c r="V9" s="102">
        <v>4106232</v>
      </c>
      <c r="W9" s="185">
        <f t="shared" si="10"/>
        <v>0.40828450552390849</v>
      </c>
    </row>
    <row r="10" spans="1:220" s="168" customFormat="1">
      <c r="A10" s="90">
        <v>2014</v>
      </c>
      <c r="B10" s="91">
        <v>22</v>
      </c>
      <c r="C10" s="91">
        <v>6.4</v>
      </c>
      <c r="D10" s="81">
        <f>B10+C10</f>
        <v>28.4</v>
      </c>
      <c r="E10" s="82">
        <f t="shared" ref="E10:E22" si="11">ROUND((O10/B10), 0)</f>
        <v>29</v>
      </c>
      <c r="F10" s="82">
        <f t="shared" ref="F10:F22" si="12">ROUND((O10/D10), 0)</f>
        <v>22</v>
      </c>
      <c r="G10" s="111"/>
      <c r="H10" s="111"/>
      <c r="I10" s="91">
        <v>232</v>
      </c>
      <c r="J10" s="91">
        <v>396</v>
      </c>
      <c r="K10" s="81">
        <f>I10+J10</f>
        <v>628</v>
      </c>
      <c r="L10" s="91">
        <v>254.7</v>
      </c>
      <c r="M10" s="82">
        <v>471.5</v>
      </c>
      <c r="N10" s="91">
        <v>52</v>
      </c>
      <c r="O10" s="91">
        <v>628</v>
      </c>
      <c r="P10" s="183">
        <f t="shared" si="9"/>
        <v>0.75079617834394907</v>
      </c>
      <c r="Q10" s="91">
        <v>219</v>
      </c>
      <c r="R10" s="91">
        <v>39</v>
      </c>
      <c r="S10" s="92">
        <v>9465538</v>
      </c>
      <c r="T10" s="85">
        <f t="shared" ref="T10:T22" si="13">SUM(U10:V10)</f>
        <v>9226237</v>
      </c>
      <c r="U10" s="92">
        <v>5610404</v>
      </c>
      <c r="V10" s="92">
        <v>3615833</v>
      </c>
      <c r="W10" s="185">
        <f t="shared" si="10"/>
        <v>0.39190766506431601</v>
      </c>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220" s="71" customFormat="1">
      <c r="A11" s="90">
        <v>2013</v>
      </c>
      <c r="B11" s="361">
        <v>23</v>
      </c>
      <c r="C11" s="361">
        <v>8.5</v>
      </c>
      <c r="D11" s="108">
        <f>B11+C11</f>
        <v>31.5</v>
      </c>
      <c r="E11" s="109">
        <f t="shared" si="11"/>
        <v>21</v>
      </c>
      <c r="F11" s="109">
        <f t="shared" si="12"/>
        <v>15</v>
      </c>
      <c r="G11" s="113"/>
      <c r="H11" s="113"/>
      <c r="I11" s="361">
        <v>223</v>
      </c>
      <c r="J11" s="361">
        <v>390</v>
      </c>
      <c r="K11" s="108">
        <f>I11+J11</f>
        <v>613</v>
      </c>
      <c r="L11" s="361">
        <v>248.5</v>
      </c>
      <c r="M11" s="109">
        <v>471.5</v>
      </c>
      <c r="N11" s="361">
        <v>51</v>
      </c>
      <c r="O11" s="361">
        <v>484.5</v>
      </c>
      <c r="P11" s="183">
        <f t="shared" si="9"/>
        <v>0.97316821465428271</v>
      </c>
      <c r="Q11" s="361">
        <v>225</v>
      </c>
      <c r="R11" s="361">
        <v>0</v>
      </c>
      <c r="S11" s="112">
        <v>8524416</v>
      </c>
      <c r="T11" s="110">
        <f t="shared" si="13"/>
        <v>8726977</v>
      </c>
      <c r="U11" s="112">
        <v>5110994</v>
      </c>
      <c r="V11" s="112">
        <v>3615983</v>
      </c>
      <c r="W11" s="185">
        <f t="shared" si="10"/>
        <v>0.41434542568405991</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row>
    <row r="12" spans="1:220" s="71" customFormat="1">
      <c r="A12" s="90">
        <v>2012</v>
      </c>
      <c r="B12" s="361">
        <v>18</v>
      </c>
      <c r="C12" s="361">
        <v>7</v>
      </c>
      <c r="D12" s="108">
        <f>B12+C12</f>
        <v>25</v>
      </c>
      <c r="E12" s="109">
        <f t="shared" si="11"/>
        <v>24</v>
      </c>
      <c r="F12" s="109">
        <f t="shared" si="12"/>
        <v>17</v>
      </c>
      <c r="G12" s="113"/>
      <c r="H12" s="113"/>
      <c r="I12" s="361">
        <v>201</v>
      </c>
      <c r="J12" s="361">
        <v>345</v>
      </c>
      <c r="K12" s="108">
        <f>I12+J12</f>
        <v>546</v>
      </c>
      <c r="L12" s="361">
        <v>214.2</v>
      </c>
      <c r="M12" s="109">
        <f>I12+L12</f>
        <v>415.2</v>
      </c>
      <c r="N12" s="361">
        <v>29</v>
      </c>
      <c r="O12" s="361">
        <v>434.6</v>
      </c>
      <c r="P12" s="183">
        <f t="shared" si="9"/>
        <v>0.95536125172572472</v>
      </c>
      <c r="Q12" s="361">
        <v>239</v>
      </c>
      <c r="R12" s="361">
        <v>2</v>
      </c>
      <c r="S12" s="112">
        <v>7591700</v>
      </c>
      <c r="T12" s="110">
        <f t="shared" si="13"/>
        <v>7998896</v>
      </c>
      <c r="U12" s="112">
        <v>4166893</v>
      </c>
      <c r="V12" s="112">
        <v>3832003</v>
      </c>
      <c r="W12" s="185">
        <f t="shared" si="10"/>
        <v>0.47906648617509218</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1:220" s="71" customFormat="1">
      <c r="A13" s="90" t="s">
        <v>81</v>
      </c>
      <c r="B13" s="361">
        <v>19</v>
      </c>
      <c r="C13" s="361">
        <v>5</v>
      </c>
      <c r="D13" s="108">
        <f t="shared" ref="D13:D22" si="14">SUM(B13:C13)</f>
        <v>24</v>
      </c>
      <c r="E13" s="109">
        <f t="shared" si="11"/>
        <v>25</v>
      </c>
      <c r="F13" s="109">
        <f t="shared" si="12"/>
        <v>20</v>
      </c>
      <c r="G13" s="113"/>
      <c r="H13" s="113"/>
      <c r="I13" s="361">
        <v>221</v>
      </c>
      <c r="J13" s="361">
        <v>378</v>
      </c>
      <c r="K13" s="108">
        <f t="shared" ref="K13:K22" si="15">SUM(I13:J13)</f>
        <v>599</v>
      </c>
      <c r="L13" s="361">
        <v>232.7</v>
      </c>
      <c r="M13" s="109">
        <f t="shared" ref="M13:M22" si="16">(I13+L13)</f>
        <v>453.7</v>
      </c>
      <c r="N13" s="361">
        <v>44</v>
      </c>
      <c r="O13" s="361">
        <v>476.30000000000007</v>
      </c>
      <c r="P13" s="183">
        <f t="shared" si="9"/>
        <v>0.95255091328994312</v>
      </c>
      <c r="Q13" s="361">
        <v>256</v>
      </c>
      <c r="R13" s="361">
        <v>1</v>
      </c>
      <c r="S13" s="112">
        <v>3512657</v>
      </c>
      <c r="T13" s="110">
        <f t="shared" si="13"/>
        <v>4030478</v>
      </c>
      <c r="U13" s="112">
        <v>3984616</v>
      </c>
      <c r="V13" s="112">
        <v>45862</v>
      </c>
      <c r="W13" s="185">
        <f t="shared" si="10"/>
        <v>1.1378799239196939E-2</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1:220" s="71" customFormat="1">
      <c r="A14" s="90" t="s">
        <v>82</v>
      </c>
      <c r="B14" s="361">
        <v>18</v>
      </c>
      <c r="C14" s="361">
        <v>5.75</v>
      </c>
      <c r="D14" s="108">
        <f t="shared" si="14"/>
        <v>23.75</v>
      </c>
      <c r="E14" s="109">
        <f t="shared" si="11"/>
        <v>27</v>
      </c>
      <c r="F14" s="109">
        <f t="shared" si="12"/>
        <v>20</v>
      </c>
      <c r="G14" s="113"/>
      <c r="H14" s="113"/>
      <c r="I14" s="361">
        <v>228</v>
      </c>
      <c r="J14" s="361">
        <v>400</v>
      </c>
      <c r="K14" s="108">
        <f t="shared" si="15"/>
        <v>628</v>
      </c>
      <c r="L14" s="361">
        <v>242</v>
      </c>
      <c r="M14" s="109">
        <f t="shared" si="16"/>
        <v>470</v>
      </c>
      <c r="N14" s="361">
        <v>43</v>
      </c>
      <c r="O14" s="361">
        <v>483.26</v>
      </c>
      <c r="P14" s="183">
        <f t="shared" si="9"/>
        <v>0.9725613541364897</v>
      </c>
      <c r="Q14" s="361">
        <v>273</v>
      </c>
      <c r="R14" s="361">
        <v>1</v>
      </c>
      <c r="S14" s="112">
        <v>3339317.61</v>
      </c>
      <c r="T14" s="110">
        <f t="shared" si="13"/>
        <v>4684774</v>
      </c>
      <c r="U14" s="112">
        <v>3597913</v>
      </c>
      <c r="V14" s="112">
        <v>1086861</v>
      </c>
      <c r="W14" s="185">
        <f t="shared" si="10"/>
        <v>0.23199859801134484</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1:220" s="71" customFormat="1">
      <c r="A15" s="90" t="s">
        <v>83</v>
      </c>
      <c r="B15" s="361">
        <v>13</v>
      </c>
      <c r="C15" s="361">
        <v>5.25</v>
      </c>
      <c r="D15" s="108">
        <f t="shared" si="14"/>
        <v>18.25</v>
      </c>
      <c r="E15" s="109">
        <f t="shared" si="11"/>
        <v>42</v>
      </c>
      <c r="F15" s="109">
        <f t="shared" si="12"/>
        <v>30</v>
      </c>
      <c r="G15" s="113"/>
      <c r="H15" s="113"/>
      <c r="I15" s="361">
        <v>270</v>
      </c>
      <c r="J15" s="361">
        <v>408</v>
      </c>
      <c r="K15" s="108">
        <f t="shared" si="15"/>
        <v>678</v>
      </c>
      <c r="L15" s="361">
        <v>254.3</v>
      </c>
      <c r="M15" s="109">
        <f t="shared" si="16"/>
        <v>524.29999999999995</v>
      </c>
      <c r="N15" s="361">
        <v>48</v>
      </c>
      <c r="O15" s="361">
        <v>540.9</v>
      </c>
      <c r="P15" s="183">
        <f t="shared" si="9"/>
        <v>0.96931040857829542</v>
      </c>
      <c r="Q15" s="361">
        <v>246</v>
      </c>
      <c r="R15" s="361">
        <v>0</v>
      </c>
      <c r="S15" s="112">
        <v>3779612</v>
      </c>
      <c r="T15" s="110">
        <f t="shared" si="13"/>
        <v>5697544</v>
      </c>
      <c r="U15" s="112">
        <v>3186145</v>
      </c>
      <c r="V15" s="112">
        <v>2511399</v>
      </c>
      <c r="W15" s="185">
        <f t="shared" si="10"/>
        <v>0.44078624052749749</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row>
    <row r="16" spans="1:220" s="71" customFormat="1">
      <c r="A16" s="90" t="s">
        <v>84</v>
      </c>
      <c r="B16" s="361">
        <v>15</v>
      </c>
      <c r="C16" s="361">
        <v>0.25</v>
      </c>
      <c r="D16" s="108">
        <f t="shared" si="14"/>
        <v>15.25</v>
      </c>
      <c r="E16" s="109">
        <f t="shared" si="11"/>
        <v>36</v>
      </c>
      <c r="F16" s="109">
        <f t="shared" si="12"/>
        <v>35</v>
      </c>
      <c r="G16" s="113"/>
      <c r="H16" s="113"/>
      <c r="I16" s="361">
        <v>246</v>
      </c>
      <c r="J16" s="361">
        <v>438</v>
      </c>
      <c r="K16" s="108">
        <f t="shared" si="15"/>
        <v>684</v>
      </c>
      <c r="L16" s="361">
        <v>281</v>
      </c>
      <c r="M16" s="109">
        <f t="shared" si="16"/>
        <v>527</v>
      </c>
      <c r="N16" s="361">
        <v>44</v>
      </c>
      <c r="O16" s="361">
        <v>537</v>
      </c>
      <c r="P16" s="183">
        <f t="shared" si="9"/>
        <v>0.98137802607076352</v>
      </c>
      <c r="Q16" s="361">
        <v>240</v>
      </c>
      <c r="R16" s="361">
        <v>0</v>
      </c>
      <c r="S16" s="112">
        <v>3247642</v>
      </c>
      <c r="T16" s="110">
        <f t="shared" si="13"/>
        <v>4863065</v>
      </c>
      <c r="U16" s="112">
        <v>2153221</v>
      </c>
      <c r="V16" s="112">
        <v>2709844</v>
      </c>
      <c r="W16" s="185">
        <f t="shared" si="10"/>
        <v>0.55722964838018818</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row>
    <row r="17" spans="1:61" s="121" customFormat="1">
      <c r="A17" s="95">
        <v>2007</v>
      </c>
      <c r="B17" s="356">
        <v>15</v>
      </c>
      <c r="C17" s="63">
        <v>1.6</v>
      </c>
      <c r="D17" s="194">
        <f t="shared" si="14"/>
        <v>16.600000000000001</v>
      </c>
      <c r="E17" s="109">
        <f t="shared" si="11"/>
        <v>30</v>
      </c>
      <c r="F17" s="109">
        <f t="shared" si="12"/>
        <v>28</v>
      </c>
      <c r="G17" s="113"/>
      <c r="H17" s="113"/>
      <c r="I17" s="356">
        <v>214</v>
      </c>
      <c r="J17" s="356">
        <v>378</v>
      </c>
      <c r="K17" s="194">
        <f t="shared" si="15"/>
        <v>592</v>
      </c>
      <c r="L17" s="356">
        <v>243.1</v>
      </c>
      <c r="M17" s="109">
        <f t="shared" si="16"/>
        <v>457.1</v>
      </c>
      <c r="N17" s="356">
        <v>30</v>
      </c>
      <c r="O17" s="356">
        <v>457</v>
      </c>
      <c r="P17" s="183">
        <f t="shared" si="9"/>
        <v>1.0002188183807441</v>
      </c>
      <c r="Q17" s="356">
        <v>291</v>
      </c>
      <c r="R17" s="356">
        <v>0</v>
      </c>
      <c r="S17" s="100">
        <v>2682675</v>
      </c>
      <c r="T17" s="110">
        <f t="shared" si="13"/>
        <v>5961607</v>
      </c>
      <c r="U17" s="100">
        <v>2683998</v>
      </c>
      <c r="V17" s="100">
        <v>3277609</v>
      </c>
      <c r="W17" s="185">
        <f t="shared" si="10"/>
        <v>0.5497861566520571</v>
      </c>
      <c r="X17" s="391"/>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row>
    <row r="18" spans="1:61" s="121" customFormat="1">
      <c r="A18" s="95">
        <v>2006</v>
      </c>
      <c r="B18" s="356">
        <v>15</v>
      </c>
      <c r="C18" s="356">
        <v>5</v>
      </c>
      <c r="D18" s="194">
        <f t="shared" si="14"/>
        <v>20</v>
      </c>
      <c r="E18" s="109">
        <f t="shared" si="11"/>
        <v>32</v>
      </c>
      <c r="F18" s="109">
        <f t="shared" si="12"/>
        <v>24</v>
      </c>
      <c r="G18" s="113"/>
      <c r="H18" s="113"/>
      <c r="I18" s="356">
        <v>220</v>
      </c>
      <c r="J18" s="356">
        <v>425</v>
      </c>
      <c r="K18" s="194">
        <f t="shared" si="15"/>
        <v>645</v>
      </c>
      <c r="L18" s="356">
        <v>260</v>
      </c>
      <c r="M18" s="109">
        <f t="shared" si="16"/>
        <v>480</v>
      </c>
      <c r="N18" s="356">
        <v>38</v>
      </c>
      <c r="O18" s="356">
        <v>480</v>
      </c>
      <c r="P18" s="183">
        <f t="shared" si="9"/>
        <v>1</v>
      </c>
      <c r="Q18" s="356">
        <v>275</v>
      </c>
      <c r="R18" s="356">
        <v>0</v>
      </c>
      <c r="S18" s="100">
        <v>2663666</v>
      </c>
      <c r="T18" s="110">
        <f t="shared" si="13"/>
        <v>4485746</v>
      </c>
      <c r="U18" s="100">
        <v>2556021</v>
      </c>
      <c r="V18" s="100">
        <v>1929725</v>
      </c>
      <c r="W18" s="185">
        <f t="shared" si="10"/>
        <v>0.43019042986383982</v>
      </c>
      <c r="X18" s="391"/>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row>
    <row r="19" spans="1:61" s="121" customFormat="1">
      <c r="A19" s="95">
        <v>2005</v>
      </c>
      <c r="B19" s="356">
        <v>15</v>
      </c>
      <c r="C19" s="356">
        <v>5</v>
      </c>
      <c r="D19" s="194">
        <f t="shared" si="14"/>
        <v>20</v>
      </c>
      <c r="E19" s="109">
        <f t="shared" si="11"/>
        <v>34</v>
      </c>
      <c r="F19" s="109">
        <f t="shared" si="12"/>
        <v>26</v>
      </c>
      <c r="G19" s="113"/>
      <c r="H19" s="113"/>
      <c r="I19" s="356">
        <v>248</v>
      </c>
      <c r="J19" s="356">
        <v>421</v>
      </c>
      <c r="K19" s="194">
        <f t="shared" si="15"/>
        <v>669</v>
      </c>
      <c r="L19" s="356">
        <v>267</v>
      </c>
      <c r="M19" s="109">
        <f t="shared" si="16"/>
        <v>515</v>
      </c>
      <c r="N19" s="356">
        <v>40</v>
      </c>
      <c r="O19" s="356">
        <v>517</v>
      </c>
      <c r="P19" s="183">
        <f t="shared" si="9"/>
        <v>0.99613152804642169</v>
      </c>
      <c r="Q19" s="356">
        <v>236</v>
      </c>
      <c r="R19" s="356">
        <v>0</v>
      </c>
      <c r="S19" s="100">
        <v>2265635</v>
      </c>
      <c r="T19" s="110">
        <f t="shared" si="13"/>
        <v>3771397</v>
      </c>
      <c r="U19" s="100">
        <v>2212080</v>
      </c>
      <c r="V19" s="100">
        <v>1559317</v>
      </c>
      <c r="W19" s="185">
        <f t="shared" si="10"/>
        <v>0.41345872630221642</v>
      </c>
      <c r="X19" s="391"/>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4"/>
      <c r="BC19" s="384"/>
      <c r="BD19" s="384"/>
      <c r="BE19" s="384"/>
      <c r="BF19" s="384"/>
      <c r="BG19" s="384"/>
      <c r="BH19" s="384"/>
      <c r="BI19" s="384"/>
    </row>
    <row r="20" spans="1:61" s="71" customFormat="1">
      <c r="A20" s="90">
        <v>2004</v>
      </c>
      <c r="B20" s="195">
        <v>14</v>
      </c>
      <c r="C20" s="195">
        <v>2.75</v>
      </c>
      <c r="D20" s="194">
        <f t="shared" si="14"/>
        <v>16.75</v>
      </c>
      <c r="E20" s="109">
        <f t="shared" si="11"/>
        <v>33</v>
      </c>
      <c r="F20" s="109">
        <f t="shared" si="12"/>
        <v>28</v>
      </c>
      <c r="G20" s="113"/>
      <c r="H20" s="113"/>
      <c r="I20" s="195">
        <v>206</v>
      </c>
      <c r="J20" s="195">
        <v>437</v>
      </c>
      <c r="K20" s="194">
        <f t="shared" si="15"/>
        <v>643</v>
      </c>
      <c r="L20" s="195">
        <v>258.2</v>
      </c>
      <c r="M20" s="109">
        <f t="shared" si="16"/>
        <v>464.2</v>
      </c>
      <c r="N20" s="195">
        <v>36</v>
      </c>
      <c r="O20" s="195">
        <v>464.2</v>
      </c>
      <c r="P20" s="183">
        <f t="shared" si="9"/>
        <v>1</v>
      </c>
      <c r="Q20" s="195">
        <v>254</v>
      </c>
      <c r="R20" s="361">
        <v>0</v>
      </c>
      <c r="S20" s="192">
        <v>2361959</v>
      </c>
      <c r="T20" s="110">
        <f t="shared" si="13"/>
        <v>3643013</v>
      </c>
      <c r="U20" s="192">
        <v>2347452</v>
      </c>
      <c r="V20" s="192">
        <v>1295561</v>
      </c>
      <c r="W20" s="185">
        <f t="shared" si="10"/>
        <v>0.35562898073654964</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1:61" s="71" customFormat="1">
      <c r="A21" s="90">
        <v>2003</v>
      </c>
      <c r="B21" s="195">
        <v>15</v>
      </c>
      <c r="C21" s="195">
        <f>ROUND(8.25, 0)</f>
        <v>8</v>
      </c>
      <c r="D21" s="194">
        <f t="shared" si="14"/>
        <v>23</v>
      </c>
      <c r="E21" s="109">
        <f t="shared" si="11"/>
        <v>30</v>
      </c>
      <c r="F21" s="109">
        <f t="shared" si="12"/>
        <v>19</v>
      </c>
      <c r="G21" s="113"/>
      <c r="H21" s="113"/>
      <c r="I21" s="195">
        <v>184</v>
      </c>
      <c r="J21" s="195">
        <v>457</v>
      </c>
      <c r="K21" s="194">
        <f t="shared" si="15"/>
        <v>641</v>
      </c>
      <c r="L21" s="195">
        <f>ROUND(262.1, 0)</f>
        <v>262</v>
      </c>
      <c r="M21" s="109">
        <f t="shared" si="16"/>
        <v>446</v>
      </c>
      <c r="N21" s="195">
        <v>32</v>
      </c>
      <c r="O21" s="195">
        <f>ROUND(446.1, 0)</f>
        <v>446</v>
      </c>
      <c r="P21" s="183">
        <f t="shared" si="9"/>
        <v>1</v>
      </c>
      <c r="Q21" s="195">
        <v>230</v>
      </c>
      <c r="R21" s="361">
        <v>0</v>
      </c>
      <c r="S21" s="192">
        <v>1870535</v>
      </c>
      <c r="T21" s="110">
        <f t="shared" si="13"/>
        <v>3548902</v>
      </c>
      <c r="U21" s="192">
        <v>1889922</v>
      </c>
      <c r="V21" s="192">
        <v>1658980</v>
      </c>
      <c r="W21" s="185">
        <f t="shared" si="10"/>
        <v>0.46746289415712239</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1:61" s="71" customFormat="1">
      <c r="A22" s="90">
        <v>2002</v>
      </c>
      <c r="B22" s="195">
        <v>13</v>
      </c>
      <c r="C22" s="195">
        <v>3</v>
      </c>
      <c r="D22" s="194">
        <f t="shared" si="14"/>
        <v>16</v>
      </c>
      <c r="E22" s="109">
        <f t="shared" si="11"/>
        <v>33</v>
      </c>
      <c r="F22" s="109">
        <f t="shared" si="12"/>
        <v>27</v>
      </c>
      <c r="G22" s="113"/>
      <c r="H22" s="113"/>
      <c r="I22" s="195">
        <v>130</v>
      </c>
      <c r="J22" s="195">
        <v>503</v>
      </c>
      <c r="K22" s="194">
        <f t="shared" si="15"/>
        <v>633</v>
      </c>
      <c r="L22" s="195">
        <f>ROUND(294.9, 0)</f>
        <v>295</v>
      </c>
      <c r="M22" s="109">
        <f t="shared" si="16"/>
        <v>425</v>
      </c>
      <c r="N22" s="195">
        <v>31</v>
      </c>
      <c r="O22" s="195">
        <f>ROUND(429.9, 0)</f>
        <v>430</v>
      </c>
      <c r="P22" s="183">
        <f t="shared" si="9"/>
        <v>0.98837209302325579</v>
      </c>
      <c r="Q22" s="195">
        <v>186</v>
      </c>
      <c r="R22" s="361">
        <v>0</v>
      </c>
      <c r="S22" s="192">
        <v>1885422</v>
      </c>
      <c r="T22" s="110">
        <f t="shared" si="13"/>
        <v>3126800</v>
      </c>
      <c r="U22" s="192">
        <v>1878246</v>
      </c>
      <c r="V22" s="192">
        <v>1248554</v>
      </c>
      <c r="W22" s="185">
        <f t="shared" si="10"/>
        <v>0.39930727900729179</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1:61" s="14" customFormat="1">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row>
    <row r="24" spans="1:61" s="14" customFormat="1">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row>
    <row r="25" spans="1:61" s="14" customFormat="1">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row>
    <row r="26" spans="1:61" s="14" customFormat="1">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row>
    <row r="27" spans="1:61"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row>
    <row r="28" spans="1:61"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row>
    <row r="29" spans="1:61"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row>
    <row r="30" spans="1:61"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row>
    <row r="31" spans="1:61"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row>
    <row r="32" spans="1:61"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row>
  </sheetData>
  <printOptions headings="1" gridLines="1"/>
  <pageMargins left="0.5" right="0.5" top="0.5" bottom="0.5" header="0" footer="0"/>
  <pageSetup paperSize="5" scale="65" orientation="landscape" horizontalDpi="1200" verticalDpi="1200"/>
  <legacy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L34"/>
  <sheetViews>
    <sheetView zoomScaleNormal="100" workbookViewId="0">
      <selection activeCell="L25" sqref="L25"/>
    </sheetView>
  </sheetViews>
  <sheetFormatPr defaultColWidth="8.85546875" defaultRowHeight="15"/>
  <cols>
    <col min="1" max="1" width="12.140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2.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 min="24" max="67" width="8.85546875" style="376"/>
  </cols>
  <sheetData>
    <row r="1" spans="1:220" s="1" customFormat="1" ht="18.75">
      <c r="A1" s="1" t="s">
        <v>8</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3" customFormat="1">
      <c r="A3" s="417">
        <v>2021</v>
      </c>
      <c r="B3" s="409">
        <v>15</v>
      </c>
      <c r="C3" s="409">
        <v>14</v>
      </c>
      <c r="D3" s="410">
        <f t="shared" ref="D3" si="0">SUM(B3:C3)</f>
        <v>29</v>
      </c>
      <c r="E3" s="411">
        <f t="shared" ref="E3" si="1">ROUND((O3/B3), 0)</f>
        <v>16</v>
      </c>
      <c r="F3" s="411">
        <f t="shared" ref="F3" si="2">ROUND((O3/D3), 0)</f>
        <v>8</v>
      </c>
      <c r="G3" s="409">
        <v>10</v>
      </c>
      <c r="H3" s="409">
        <v>7.5</v>
      </c>
      <c r="I3" s="409">
        <v>96</v>
      </c>
      <c r="J3" s="409">
        <v>185</v>
      </c>
      <c r="K3" s="410">
        <f>SUM(I3:J3)</f>
        <v>281</v>
      </c>
      <c r="L3" s="412">
        <v>101</v>
      </c>
      <c r="M3" s="411">
        <f>(I3+L3)</f>
        <v>197</v>
      </c>
      <c r="N3" s="409">
        <v>29</v>
      </c>
      <c r="O3" s="409">
        <f>37+M3</f>
        <v>234</v>
      </c>
      <c r="P3" s="413">
        <f>M3/O3</f>
        <v>0.84188034188034189</v>
      </c>
      <c r="Q3" s="409">
        <v>112</v>
      </c>
      <c r="R3" s="409">
        <v>40</v>
      </c>
      <c r="S3" s="414">
        <v>1916226.45</v>
      </c>
      <c r="T3" s="415">
        <f t="shared" ref="T3" si="3">SUM(U3:V3)</f>
        <v>2077349</v>
      </c>
      <c r="U3" s="414">
        <v>2077349</v>
      </c>
      <c r="V3" s="414">
        <v>0</v>
      </c>
      <c r="W3" s="335">
        <f>V3/T3</f>
        <v>0</v>
      </c>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416"/>
      <c r="CL3" s="416"/>
      <c r="CM3" s="416"/>
      <c r="CN3" s="416"/>
      <c r="CO3" s="416"/>
      <c r="CP3" s="416"/>
      <c r="CQ3" s="416"/>
      <c r="CR3" s="416"/>
      <c r="CS3" s="416"/>
      <c r="CT3" s="416"/>
      <c r="CU3" s="416"/>
      <c r="CV3" s="416"/>
      <c r="CW3" s="416"/>
      <c r="CX3" s="416"/>
      <c r="CY3" s="416"/>
      <c r="CZ3" s="416"/>
      <c r="DA3" s="416"/>
      <c r="DB3" s="416"/>
      <c r="DC3" s="416"/>
      <c r="DD3" s="416"/>
      <c r="DE3" s="416"/>
      <c r="DF3" s="416"/>
      <c r="DG3" s="416"/>
      <c r="DH3" s="416"/>
      <c r="DI3" s="416"/>
      <c r="DJ3" s="416"/>
      <c r="DK3" s="416"/>
      <c r="DL3" s="416"/>
      <c r="DM3" s="416"/>
      <c r="DN3" s="416"/>
      <c r="DO3" s="416"/>
      <c r="DP3" s="416"/>
      <c r="DQ3" s="416"/>
      <c r="DR3" s="416"/>
      <c r="DS3" s="416"/>
      <c r="DT3" s="416"/>
      <c r="DU3" s="416"/>
      <c r="DV3" s="416"/>
      <c r="DW3" s="416"/>
      <c r="DX3" s="416"/>
      <c r="DY3" s="416"/>
      <c r="DZ3" s="416"/>
      <c r="EA3" s="416"/>
      <c r="EB3" s="416"/>
      <c r="EC3" s="416"/>
      <c r="ED3" s="416"/>
      <c r="EE3" s="416"/>
      <c r="EF3" s="416"/>
      <c r="EG3" s="416"/>
      <c r="EH3" s="416"/>
      <c r="EI3" s="416"/>
      <c r="EJ3" s="416"/>
      <c r="EK3" s="416"/>
      <c r="EL3" s="416"/>
      <c r="EM3" s="416"/>
      <c r="EN3" s="416"/>
      <c r="EO3" s="416"/>
      <c r="EP3" s="416"/>
      <c r="EQ3" s="416"/>
      <c r="ER3" s="416"/>
      <c r="ES3" s="416"/>
      <c r="ET3" s="416"/>
      <c r="EU3" s="416"/>
      <c r="EV3" s="416"/>
      <c r="EW3" s="416"/>
      <c r="EX3" s="416"/>
      <c r="EY3" s="416"/>
      <c r="EZ3" s="416"/>
      <c r="FA3" s="416"/>
      <c r="FB3" s="416"/>
      <c r="FC3" s="416"/>
      <c r="FD3" s="416"/>
      <c r="FE3" s="416"/>
      <c r="FF3" s="416"/>
      <c r="FG3" s="416"/>
      <c r="FH3" s="416"/>
      <c r="FI3" s="416"/>
      <c r="FJ3" s="416"/>
      <c r="FK3" s="416"/>
      <c r="FL3" s="416"/>
      <c r="FM3" s="416"/>
      <c r="FN3" s="416"/>
      <c r="FO3" s="416"/>
      <c r="FP3" s="416"/>
      <c r="FQ3" s="416"/>
      <c r="FR3" s="416"/>
      <c r="FS3" s="416"/>
      <c r="FT3" s="416"/>
      <c r="FU3" s="416"/>
      <c r="FV3" s="416"/>
      <c r="FW3" s="416"/>
      <c r="FX3" s="416"/>
      <c r="FY3" s="416"/>
      <c r="FZ3" s="416"/>
      <c r="GA3" s="416"/>
      <c r="GB3" s="416"/>
      <c r="GC3" s="416"/>
      <c r="GD3" s="416"/>
      <c r="GE3" s="416"/>
      <c r="GF3" s="416"/>
      <c r="GG3" s="416"/>
      <c r="GH3" s="416"/>
      <c r="GI3" s="416"/>
      <c r="GJ3" s="416"/>
      <c r="GK3" s="416"/>
      <c r="GL3" s="416"/>
      <c r="GM3" s="416"/>
      <c r="GN3" s="416"/>
      <c r="GO3" s="416"/>
      <c r="GP3" s="416"/>
      <c r="GQ3" s="416"/>
      <c r="GR3" s="416"/>
      <c r="GS3" s="416"/>
      <c r="GT3" s="416"/>
      <c r="GU3" s="416"/>
      <c r="GV3" s="416"/>
      <c r="GW3" s="416"/>
      <c r="GX3" s="416"/>
      <c r="GY3" s="416"/>
      <c r="GZ3" s="416"/>
      <c r="HA3" s="416"/>
      <c r="HB3" s="416"/>
      <c r="HC3" s="416"/>
      <c r="HD3" s="416"/>
      <c r="HE3" s="416"/>
      <c r="HF3" s="416"/>
      <c r="HG3" s="416"/>
      <c r="HH3" s="416"/>
      <c r="HI3" s="416"/>
      <c r="HJ3" s="416"/>
      <c r="HK3" s="416"/>
      <c r="HL3" s="416"/>
    </row>
    <row r="4" spans="1:220" s="3" customFormat="1">
      <c r="A4" s="417">
        <v>2020</v>
      </c>
      <c r="B4" s="409">
        <v>14</v>
      </c>
      <c r="C4" s="409">
        <v>13.5</v>
      </c>
      <c r="D4" s="410">
        <f>SUM(B4:C4)</f>
        <v>27.5</v>
      </c>
      <c r="E4" s="411">
        <f>ROUND((O4/B4), 0)</f>
        <v>18</v>
      </c>
      <c r="F4" s="411">
        <f>ROUND((O4/D4), 0)</f>
        <v>9</v>
      </c>
      <c r="G4" s="409">
        <v>10</v>
      </c>
      <c r="H4" s="409">
        <v>7.5</v>
      </c>
      <c r="I4" s="409">
        <v>132</v>
      </c>
      <c r="J4" s="409">
        <v>158</v>
      </c>
      <c r="K4" s="410">
        <f>SUM(I4:J4)</f>
        <v>290</v>
      </c>
      <c r="L4" s="412">
        <v>89</v>
      </c>
      <c r="M4" s="411">
        <f>(I4+L4)</f>
        <v>221</v>
      </c>
      <c r="N4" s="409">
        <v>29</v>
      </c>
      <c r="O4" s="409">
        <v>254</v>
      </c>
      <c r="P4" s="413">
        <f>M4/O4</f>
        <v>0.87007874015748032</v>
      </c>
      <c r="Q4" s="409">
        <v>73</v>
      </c>
      <c r="R4" s="409">
        <v>61</v>
      </c>
      <c r="S4" s="414">
        <v>2335406</v>
      </c>
      <c r="T4" s="415">
        <f>SUM(U4:V4)</f>
        <v>2098832</v>
      </c>
      <c r="U4" s="414">
        <v>2098832</v>
      </c>
      <c r="V4" s="414">
        <v>0</v>
      </c>
      <c r="W4" s="335">
        <f>V4/T4</f>
        <v>0</v>
      </c>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6"/>
      <c r="BN4" s="416"/>
      <c r="BO4" s="416"/>
      <c r="BP4" s="416"/>
      <c r="BQ4" s="416"/>
      <c r="BR4" s="416"/>
      <c r="BS4" s="416"/>
      <c r="BT4" s="416"/>
      <c r="BU4" s="416"/>
      <c r="BV4" s="416"/>
      <c r="BW4" s="416"/>
      <c r="BX4" s="416"/>
      <c r="BY4" s="416"/>
      <c r="BZ4" s="416"/>
      <c r="CA4" s="416"/>
      <c r="CB4" s="416"/>
      <c r="CC4" s="416"/>
      <c r="CD4" s="416"/>
      <c r="CE4" s="416"/>
      <c r="CF4" s="416"/>
      <c r="CG4" s="416"/>
      <c r="CH4" s="416"/>
      <c r="CI4" s="416"/>
      <c r="CJ4" s="416"/>
      <c r="CK4" s="416"/>
      <c r="CL4" s="416"/>
      <c r="CM4" s="416"/>
      <c r="CN4" s="416"/>
      <c r="CO4" s="416"/>
      <c r="CP4" s="416"/>
      <c r="CQ4" s="416"/>
      <c r="CR4" s="416"/>
      <c r="CS4" s="416"/>
      <c r="CT4" s="416"/>
      <c r="CU4" s="416"/>
      <c r="CV4" s="416"/>
      <c r="CW4" s="416"/>
      <c r="CX4" s="416"/>
      <c r="CY4" s="416"/>
      <c r="CZ4" s="416"/>
      <c r="DA4" s="416"/>
      <c r="DB4" s="416"/>
      <c r="DC4" s="416"/>
      <c r="DD4" s="416"/>
      <c r="DE4" s="416"/>
      <c r="DF4" s="416"/>
      <c r="DG4" s="416"/>
      <c r="DH4" s="416"/>
      <c r="DI4" s="416"/>
      <c r="DJ4" s="416"/>
      <c r="DK4" s="416"/>
      <c r="DL4" s="416"/>
      <c r="DM4" s="416"/>
      <c r="DN4" s="416"/>
      <c r="DO4" s="416"/>
      <c r="DP4" s="416"/>
      <c r="DQ4" s="416"/>
      <c r="DR4" s="416"/>
      <c r="DS4" s="416"/>
      <c r="DT4" s="416"/>
      <c r="DU4" s="416"/>
      <c r="DV4" s="416"/>
      <c r="DW4" s="416"/>
      <c r="DX4" s="416"/>
      <c r="DY4" s="416"/>
      <c r="DZ4" s="416"/>
      <c r="EA4" s="416"/>
      <c r="EB4" s="416"/>
      <c r="EC4" s="416"/>
      <c r="ED4" s="416"/>
      <c r="EE4" s="416"/>
      <c r="EF4" s="416"/>
      <c r="EG4" s="416"/>
      <c r="EH4" s="416"/>
      <c r="EI4" s="416"/>
      <c r="EJ4" s="416"/>
      <c r="EK4" s="416"/>
      <c r="EL4" s="416"/>
      <c r="EM4" s="416"/>
      <c r="EN4" s="416"/>
      <c r="EO4" s="416"/>
      <c r="EP4" s="416"/>
      <c r="EQ4" s="416"/>
      <c r="ER4" s="416"/>
      <c r="ES4" s="416"/>
      <c r="ET4" s="416"/>
      <c r="EU4" s="416"/>
      <c r="EV4" s="416"/>
      <c r="EW4" s="416"/>
      <c r="EX4" s="416"/>
      <c r="EY4" s="416"/>
      <c r="EZ4" s="416"/>
      <c r="FA4" s="416"/>
      <c r="FB4" s="416"/>
      <c r="FC4" s="416"/>
      <c r="FD4" s="416"/>
      <c r="FE4" s="416"/>
      <c r="FF4" s="416"/>
      <c r="FG4" s="416"/>
      <c r="FH4" s="416"/>
      <c r="FI4" s="416"/>
      <c r="FJ4" s="416"/>
      <c r="FK4" s="416"/>
      <c r="FL4" s="416"/>
      <c r="FM4" s="416"/>
      <c r="FN4" s="416"/>
      <c r="FO4" s="416"/>
      <c r="FP4" s="416"/>
      <c r="FQ4" s="416"/>
      <c r="FR4" s="416"/>
      <c r="FS4" s="416"/>
      <c r="FT4" s="416"/>
      <c r="FU4" s="416"/>
      <c r="FV4" s="416"/>
      <c r="FW4" s="416"/>
      <c r="FX4" s="416"/>
      <c r="FY4" s="416"/>
      <c r="FZ4" s="416"/>
      <c r="GA4" s="416"/>
      <c r="GB4" s="416"/>
      <c r="GC4" s="416"/>
      <c r="GD4" s="416"/>
      <c r="GE4" s="416"/>
      <c r="GF4" s="416"/>
      <c r="GG4" s="416"/>
      <c r="GH4" s="416"/>
      <c r="GI4" s="416"/>
      <c r="GJ4" s="416"/>
      <c r="GK4" s="416"/>
      <c r="GL4" s="416"/>
      <c r="GM4" s="416"/>
      <c r="GN4" s="416"/>
      <c r="GO4" s="416"/>
      <c r="GP4" s="416"/>
      <c r="GQ4" s="416"/>
      <c r="GR4" s="416"/>
      <c r="GS4" s="416"/>
      <c r="GT4" s="416"/>
      <c r="GU4" s="416"/>
      <c r="GV4" s="416"/>
      <c r="GW4" s="416"/>
      <c r="GX4" s="416"/>
      <c r="GY4" s="416"/>
      <c r="GZ4" s="416"/>
      <c r="HA4" s="416"/>
      <c r="HB4" s="416"/>
      <c r="HC4" s="416"/>
      <c r="HD4" s="416"/>
      <c r="HE4" s="416"/>
      <c r="HF4" s="416"/>
      <c r="HG4" s="416"/>
      <c r="HH4" s="416"/>
      <c r="HI4" s="416"/>
      <c r="HJ4" s="416"/>
      <c r="HK4" s="416"/>
      <c r="HL4" s="416"/>
    </row>
    <row r="5" spans="1:220" s="472" customFormat="1">
      <c r="A5" s="417">
        <v>2019</v>
      </c>
      <c r="B5" s="468">
        <v>15</v>
      </c>
      <c r="C5" s="468">
        <v>10</v>
      </c>
      <c r="D5" s="410">
        <f>SUM(B5:C5)</f>
        <v>25</v>
      </c>
      <c r="E5" s="411">
        <f>ROUND((O5/B5), 0)</f>
        <v>19</v>
      </c>
      <c r="F5" s="411">
        <f>ROUND((O5/D5), 0)</f>
        <v>11</v>
      </c>
      <c r="G5" s="468">
        <v>9</v>
      </c>
      <c r="H5" s="469">
        <v>6.5</v>
      </c>
      <c r="I5" s="468">
        <v>15</v>
      </c>
      <c r="J5" s="468">
        <v>233</v>
      </c>
      <c r="K5" s="410">
        <f t="shared" ref="K5" si="4">SUM(I5:J5)</f>
        <v>248</v>
      </c>
      <c r="L5" s="468">
        <v>124</v>
      </c>
      <c r="M5" s="411">
        <f>(I5+L5)</f>
        <v>139</v>
      </c>
      <c r="N5" s="468">
        <v>11</v>
      </c>
      <c r="O5" s="468">
        <v>278</v>
      </c>
      <c r="P5" s="413">
        <f t="shared" ref="P5" si="5">M5/O5</f>
        <v>0.5</v>
      </c>
      <c r="Q5" s="468">
        <v>75</v>
      </c>
      <c r="R5" s="468">
        <v>54</v>
      </c>
      <c r="S5" s="470">
        <v>2243828</v>
      </c>
      <c r="T5" s="415">
        <f>SUM(U5:V5)</f>
        <v>2066202</v>
      </c>
      <c r="U5" s="470">
        <v>2066202</v>
      </c>
      <c r="V5" s="470">
        <v>0</v>
      </c>
      <c r="W5" s="471">
        <f t="shared" ref="W5" si="6">V5/T5</f>
        <v>0</v>
      </c>
    </row>
    <row r="6" spans="1:220" s="17" customFormat="1">
      <c r="A6" s="33">
        <v>2018</v>
      </c>
      <c r="B6" s="20">
        <v>15</v>
      </c>
      <c r="C6" s="20">
        <f>13/2</f>
        <v>6.5</v>
      </c>
      <c r="D6" s="29">
        <f>SUM(B6:C6)</f>
        <v>21.5</v>
      </c>
      <c r="E6" s="172">
        <f>ROUND((O6/B6), 0)</f>
        <v>23</v>
      </c>
      <c r="F6" s="172">
        <f>ROUND((O6/D6), 0)</f>
        <v>16</v>
      </c>
      <c r="G6" s="20">
        <v>8</v>
      </c>
      <c r="H6" s="20">
        <v>3.5</v>
      </c>
      <c r="I6" s="20">
        <v>45</v>
      </c>
      <c r="J6" s="20">
        <v>138</v>
      </c>
      <c r="K6" s="29">
        <f t="shared" ref="K6" si="7">SUM(I6:J6)</f>
        <v>183</v>
      </c>
      <c r="L6" s="20">
        <v>72</v>
      </c>
      <c r="M6" s="172">
        <f>(I6+L6)</f>
        <v>117</v>
      </c>
      <c r="N6" s="20">
        <v>10</v>
      </c>
      <c r="O6" s="20">
        <v>352</v>
      </c>
      <c r="P6" s="183">
        <f>M6/O6</f>
        <v>0.33238636363636365</v>
      </c>
      <c r="Q6" s="20">
        <v>76</v>
      </c>
      <c r="R6" s="20">
        <f>111-76</f>
        <v>35</v>
      </c>
      <c r="S6" s="24">
        <v>1514970</v>
      </c>
      <c r="T6" s="30">
        <f>SUM(U6:V6)</f>
        <v>1568372</v>
      </c>
      <c r="U6" s="24">
        <v>1568372</v>
      </c>
      <c r="V6" s="24">
        <v>0</v>
      </c>
      <c r="W6" s="185">
        <f>V6/T6</f>
        <v>0</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13</v>
      </c>
      <c r="C7" s="20">
        <v>0.5</v>
      </c>
      <c r="D7" s="34">
        <f>SUM(B7:C7)</f>
        <v>13.5</v>
      </c>
      <c r="E7" s="34">
        <f>ROUND((O7/B7), 0)</f>
        <v>25</v>
      </c>
      <c r="F7" s="34">
        <f>ROUND((O7/D7), 0)</f>
        <v>24</v>
      </c>
      <c r="G7" s="20">
        <v>8</v>
      </c>
      <c r="H7" s="20">
        <v>0.5</v>
      </c>
      <c r="I7" s="20">
        <v>55</v>
      </c>
      <c r="J7" s="20">
        <v>137</v>
      </c>
      <c r="K7" s="34">
        <f>SUM(I7:J7)</f>
        <v>192</v>
      </c>
      <c r="L7" s="20">
        <v>70</v>
      </c>
      <c r="M7" s="36">
        <f>(I7+L7)</f>
        <v>125</v>
      </c>
      <c r="N7" s="344">
        <v>10</v>
      </c>
      <c r="O7" s="344">
        <v>321</v>
      </c>
      <c r="P7" s="183">
        <f t="shared" ref="P7:P22" si="8">M7/O7</f>
        <v>0.38940809968847351</v>
      </c>
      <c r="Q7" s="20">
        <v>78</v>
      </c>
      <c r="R7" s="20">
        <v>21</v>
      </c>
      <c r="S7" s="300">
        <v>1372521</v>
      </c>
      <c r="T7" s="35">
        <f>SUM(U7:V7)</f>
        <v>1561326</v>
      </c>
      <c r="U7" s="341">
        <v>1561326</v>
      </c>
      <c r="V7" s="24">
        <v>0</v>
      </c>
      <c r="W7" s="185">
        <f t="shared" ref="W7:W22" si="9">V7/T7</f>
        <v>0</v>
      </c>
    </row>
    <row r="8" spans="1:220" s="65" customFormat="1">
      <c r="A8" s="95">
        <v>2016</v>
      </c>
      <c r="B8" s="63">
        <v>15</v>
      </c>
      <c r="C8" s="63">
        <v>4</v>
      </c>
      <c r="D8" s="81">
        <f>SUM(B8:C8)</f>
        <v>19</v>
      </c>
      <c r="E8" s="82">
        <f>ROUND((O8/B8), 0)</f>
        <v>17</v>
      </c>
      <c r="F8" s="82">
        <f>ROUND((O8/D8), 0)</f>
        <v>14</v>
      </c>
      <c r="G8" s="83">
        <v>10</v>
      </c>
      <c r="H8" s="83">
        <v>2</v>
      </c>
      <c r="I8" s="63">
        <f>15+52</f>
        <v>67</v>
      </c>
      <c r="J8" s="63">
        <f>30+122</f>
        <v>152</v>
      </c>
      <c r="K8" s="81">
        <f>I8+J8</f>
        <v>219</v>
      </c>
      <c r="L8" s="63">
        <f>16+64</f>
        <v>80</v>
      </c>
      <c r="M8" s="82">
        <f>I8+L8</f>
        <v>147</v>
      </c>
      <c r="N8" s="63">
        <v>11</v>
      </c>
      <c r="O8" s="63">
        <v>258.5</v>
      </c>
      <c r="P8" s="183">
        <f t="shared" si="8"/>
        <v>0.56866537717601551</v>
      </c>
      <c r="Q8" s="63">
        <f>9+3+52+3</f>
        <v>67</v>
      </c>
      <c r="R8" s="63">
        <v>5</v>
      </c>
      <c r="S8" s="74">
        <v>1577841</v>
      </c>
      <c r="T8" s="85">
        <f>SUM(U8:V8)</f>
        <v>1577841</v>
      </c>
      <c r="U8" s="74">
        <v>1577841</v>
      </c>
      <c r="V8" s="24">
        <v>0</v>
      </c>
      <c r="W8" s="185">
        <f t="shared" si="9"/>
        <v>0</v>
      </c>
    </row>
    <row r="9" spans="1:220" s="105" customFormat="1">
      <c r="A9" s="90">
        <v>2015</v>
      </c>
      <c r="B9" s="91">
        <v>10</v>
      </c>
      <c r="C9" s="91">
        <v>10.75</v>
      </c>
      <c r="D9" s="81">
        <v>20.75</v>
      </c>
      <c r="E9" s="81">
        <v>35.6</v>
      </c>
      <c r="F9" s="81">
        <v>17.2</v>
      </c>
      <c r="G9" s="111"/>
      <c r="H9" s="111"/>
      <c r="I9" s="91">
        <v>79</v>
      </c>
      <c r="J9" s="91">
        <v>133</v>
      </c>
      <c r="K9" s="108">
        <f>I9+J9</f>
        <v>212</v>
      </c>
      <c r="L9" s="91">
        <v>71</v>
      </c>
      <c r="M9" s="81">
        <v>282.7</v>
      </c>
      <c r="N9" s="91">
        <v>13</v>
      </c>
      <c r="O9" s="91">
        <v>356.2</v>
      </c>
      <c r="P9" s="183">
        <f t="shared" si="8"/>
        <v>0.79365524985962943</v>
      </c>
      <c r="Q9" s="91">
        <v>75</v>
      </c>
      <c r="R9" s="91">
        <v>0</v>
      </c>
      <c r="S9" s="102">
        <v>1845473</v>
      </c>
      <c r="T9" s="103">
        <v>2050152</v>
      </c>
      <c r="U9" s="102">
        <v>2048702</v>
      </c>
      <c r="V9" s="102">
        <v>1450</v>
      </c>
      <c r="W9" s="185">
        <f t="shared" si="9"/>
        <v>7.0726463208581607E-4</v>
      </c>
    </row>
    <row r="10" spans="1:220" s="168" customFormat="1">
      <c r="A10" s="90">
        <v>2014</v>
      </c>
      <c r="B10" s="91">
        <v>12</v>
      </c>
      <c r="C10" s="91">
        <v>3</v>
      </c>
      <c r="D10" s="81">
        <f t="shared" ref="D10:D22" si="10">SUM(B10:C10)</f>
        <v>15</v>
      </c>
      <c r="E10" s="82">
        <f t="shared" ref="E10:E22" si="11">ROUND((O10/B10), 0)</f>
        <v>14</v>
      </c>
      <c r="F10" s="82">
        <f t="shared" ref="F10:F22" si="12">ROUND((O10/D10), 0)</f>
        <v>11</v>
      </c>
      <c r="G10" s="111"/>
      <c r="H10" s="111"/>
      <c r="I10" s="91">
        <v>81</v>
      </c>
      <c r="J10" s="91">
        <v>122</v>
      </c>
      <c r="K10" s="81">
        <f>I10+J10</f>
        <v>203</v>
      </c>
      <c r="L10" s="91">
        <v>67</v>
      </c>
      <c r="M10" s="82">
        <f>I10+L10</f>
        <v>148</v>
      </c>
      <c r="N10" s="91">
        <v>2</v>
      </c>
      <c r="O10" s="91">
        <v>170</v>
      </c>
      <c r="P10" s="183">
        <f t="shared" si="8"/>
        <v>0.87058823529411766</v>
      </c>
      <c r="Q10" s="91">
        <v>98</v>
      </c>
      <c r="R10" s="91">
        <v>0</v>
      </c>
      <c r="S10" s="92">
        <v>1656109</v>
      </c>
      <c r="T10" s="85">
        <f t="shared" ref="T10:T22" si="13">SUM(U10:V10)</f>
        <v>1740923</v>
      </c>
      <c r="U10" s="92">
        <v>1735023</v>
      </c>
      <c r="V10" s="92">
        <v>5900</v>
      </c>
      <c r="W10" s="185">
        <f t="shared" si="9"/>
        <v>3.389006865898147E-3</v>
      </c>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row>
    <row r="11" spans="1:220" s="71" customFormat="1">
      <c r="A11" s="90">
        <v>2013</v>
      </c>
      <c r="B11" s="361">
        <v>13</v>
      </c>
      <c r="C11" s="361">
        <v>4</v>
      </c>
      <c r="D11" s="108">
        <f t="shared" si="10"/>
        <v>17</v>
      </c>
      <c r="E11" s="109">
        <f t="shared" si="11"/>
        <v>13</v>
      </c>
      <c r="F11" s="109">
        <f t="shared" si="12"/>
        <v>10</v>
      </c>
      <c r="G11" s="113"/>
      <c r="H11" s="113"/>
      <c r="I11" s="361">
        <v>95</v>
      </c>
      <c r="J11" s="361">
        <v>143</v>
      </c>
      <c r="K11" s="108">
        <f>I11+J11</f>
        <v>238</v>
      </c>
      <c r="L11" s="361">
        <v>75.900000000000006</v>
      </c>
      <c r="M11" s="109">
        <f>I11+L11</f>
        <v>170.9</v>
      </c>
      <c r="N11" s="361">
        <v>7</v>
      </c>
      <c r="O11" s="361">
        <v>170.9</v>
      </c>
      <c r="P11" s="183">
        <f t="shared" si="8"/>
        <v>1</v>
      </c>
      <c r="Q11" s="361">
        <v>81</v>
      </c>
      <c r="R11" s="361">
        <v>0</v>
      </c>
      <c r="S11" s="112">
        <v>1329398</v>
      </c>
      <c r="T11" s="110">
        <f t="shared" si="13"/>
        <v>1607304</v>
      </c>
      <c r="U11" s="112">
        <v>1579070</v>
      </c>
      <c r="V11" s="112">
        <v>28234</v>
      </c>
      <c r="W11" s="185">
        <f t="shared" si="9"/>
        <v>1.7566060931846122E-2</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row>
    <row r="12" spans="1:220" s="71" customFormat="1">
      <c r="A12" s="90">
        <v>2012</v>
      </c>
      <c r="B12" s="361">
        <v>12</v>
      </c>
      <c r="C12" s="361">
        <v>4</v>
      </c>
      <c r="D12" s="108">
        <f t="shared" si="10"/>
        <v>16</v>
      </c>
      <c r="E12" s="109">
        <f t="shared" si="11"/>
        <v>16</v>
      </c>
      <c r="F12" s="109">
        <f t="shared" si="12"/>
        <v>12</v>
      </c>
      <c r="G12" s="113"/>
      <c r="H12" s="113"/>
      <c r="I12" s="361">
        <v>108</v>
      </c>
      <c r="J12" s="361">
        <v>142</v>
      </c>
      <c r="K12" s="108">
        <f>I12+J12</f>
        <v>250</v>
      </c>
      <c r="L12" s="361">
        <v>78</v>
      </c>
      <c r="M12" s="109">
        <f>I12+L12</f>
        <v>186</v>
      </c>
      <c r="N12" s="361">
        <v>8</v>
      </c>
      <c r="O12" s="361">
        <v>186</v>
      </c>
      <c r="P12" s="183">
        <f t="shared" si="8"/>
        <v>1</v>
      </c>
      <c r="Q12" s="361">
        <v>79</v>
      </c>
      <c r="R12" s="361">
        <v>0</v>
      </c>
      <c r="S12" s="112">
        <v>1608330.74</v>
      </c>
      <c r="T12" s="110">
        <f t="shared" si="13"/>
        <v>1674084</v>
      </c>
      <c r="U12" s="112">
        <v>1642850</v>
      </c>
      <c r="V12" s="112">
        <v>31234</v>
      </c>
      <c r="W12" s="185">
        <f t="shared" si="9"/>
        <v>1.8657367252778237E-2</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row>
    <row r="13" spans="1:220" s="71" customFormat="1">
      <c r="A13" s="90" t="s">
        <v>81</v>
      </c>
      <c r="B13" s="361">
        <v>12</v>
      </c>
      <c r="C13" s="361">
        <v>5</v>
      </c>
      <c r="D13" s="108">
        <f t="shared" si="10"/>
        <v>17</v>
      </c>
      <c r="E13" s="109">
        <f t="shared" si="11"/>
        <v>14</v>
      </c>
      <c r="F13" s="109">
        <f t="shared" si="12"/>
        <v>10</v>
      </c>
      <c r="G13" s="113"/>
      <c r="H13" s="113"/>
      <c r="I13" s="361">
        <v>101</v>
      </c>
      <c r="J13" s="361">
        <v>126</v>
      </c>
      <c r="K13" s="108">
        <f t="shared" ref="K13:K22" si="14">SUM(I13:J13)</f>
        <v>227</v>
      </c>
      <c r="L13" s="361">
        <v>64</v>
      </c>
      <c r="M13" s="109">
        <f t="shared" ref="M13:M22" si="15">(I13+L13)</f>
        <v>165</v>
      </c>
      <c r="N13" s="361">
        <v>6</v>
      </c>
      <c r="O13" s="361">
        <v>165</v>
      </c>
      <c r="P13" s="183">
        <f t="shared" si="8"/>
        <v>1</v>
      </c>
      <c r="Q13" s="361">
        <v>70</v>
      </c>
      <c r="R13" s="361">
        <v>0</v>
      </c>
      <c r="S13" s="112">
        <v>1396872</v>
      </c>
      <c r="T13" s="110">
        <f t="shared" si="13"/>
        <v>1618778</v>
      </c>
      <c r="U13" s="112">
        <v>1517778</v>
      </c>
      <c r="V13" s="112">
        <v>101000</v>
      </c>
      <c r="W13" s="185">
        <f t="shared" si="9"/>
        <v>6.2392743167994626E-2</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row>
    <row r="14" spans="1:220" s="71" customFormat="1">
      <c r="A14" s="90" t="s">
        <v>82</v>
      </c>
      <c r="B14" s="361">
        <v>11</v>
      </c>
      <c r="C14" s="361">
        <v>1.75</v>
      </c>
      <c r="D14" s="108">
        <f t="shared" si="10"/>
        <v>12.75</v>
      </c>
      <c r="E14" s="109">
        <f t="shared" si="11"/>
        <v>14</v>
      </c>
      <c r="F14" s="109">
        <f t="shared" si="12"/>
        <v>12</v>
      </c>
      <c r="G14" s="113"/>
      <c r="H14" s="113"/>
      <c r="I14" s="361">
        <v>90</v>
      </c>
      <c r="J14" s="361">
        <v>123</v>
      </c>
      <c r="K14" s="108">
        <f t="shared" si="14"/>
        <v>213</v>
      </c>
      <c r="L14" s="361">
        <v>67.11</v>
      </c>
      <c r="M14" s="109">
        <f t="shared" si="15"/>
        <v>157.11000000000001</v>
      </c>
      <c r="N14" s="361">
        <v>8</v>
      </c>
      <c r="O14" s="361">
        <v>157.11000000000001</v>
      </c>
      <c r="P14" s="183">
        <f t="shared" si="8"/>
        <v>1</v>
      </c>
      <c r="Q14" s="361">
        <v>79</v>
      </c>
      <c r="R14" s="361">
        <v>0</v>
      </c>
      <c r="S14" s="112">
        <v>1498494</v>
      </c>
      <c r="T14" s="110">
        <f t="shared" si="13"/>
        <v>1564598</v>
      </c>
      <c r="U14" s="112">
        <v>1463598</v>
      </c>
      <c r="V14" s="112">
        <v>101000</v>
      </c>
      <c r="W14" s="185">
        <f t="shared" si="9"/>
        <v>6.4553322962192211E-2</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row>
    <row r="15" spans="1:220" s="71" customFormat="1">
      <c r="A15" s="90" t="s">
        <v>83</v>
      </c>
      <c r="B15" s="361">
        <v>11</v>
      </c>
      <c r="C15" s="361">
        <v>2.25</v>
      </c>
      <c r="D15" s="108">
        <f t="shared" si="10"/>
        <v>13.25</v>
      </c>
      <c r="E15" s="109">
        <f t="shared" si="11"/>
        <v>14</v>
      </c>
      <c r="F15" s="109">
        <f t="shared" si="12"/>
        <v>12</v>
      </c>
      <c r="G15" s="113"/>
      <c r="H15" s="113"/>
      <c r="I15" s="361">
        <v>103</v>
      </c>
      <c r="J15" s="361">
        <v>110</v>
      </c>
      <c r="K15" s="108">
        <f t="shared" si="14"/>
        <v>213</v>
      </c>
      <c r="L15" s="361">
        <v>55.88</v>
      </c>
      <c r="M15" s="109">
        <f t="shared" si="15"/>
        <v>158.88</v>
      </c>
      <c r="N15" s="361">
        <v>10</v>
      </c>
      <c r="O15" s="361">
        <v>158.88</v>
      </c>
      <c r="P15" s="183">
        <f t="shared" si="8"/>
        <v>1</v>
      </c>
      <c r="Q15" s="361">
        <v>91</v>
      </c>
      <c r="R15" s="361">
        <v>0</v>
      </c>
      <c r="S15" s="112">
        <v>1605886</v>
      </c>
      <c r="T15" s="110">
        <f t="shared" si="13"/>
        <v>1652336.16</v>
      </c>
      <c r="U15" s="112">
        <v>1537964.16</v>
      </c>
      <c r="V15" s="112">
        <v>114372</v>
      </c>
      <c r="W15" s="185">
        <f t="shared" si="9"/>
        <v>6.9218360506012294E-2</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row>
    <row r="16" spans="1:220" s="71" customFormat="1">
      <c r="A16" s="90" t="s">
        <v>84</v>
      </c>
      <c r="B16" s="361">
        <v>12</v>
      </c>
      <c r="C16" s="361">
        <v>2</v>
      </c>
      <c r="D16" s="108">
        <f t="shared" si="10"/>
        <v>14</v>
      </c>
      <c r="E16" s="109">
        <f t="shared" si="11"/>
        <v>13</v>
      </c>
      <c r="F16" s="109">
        <f t="shared" si="12"/>
        <v>11</v>
      </c>
      <c r="G16" s="113"/>
      <c r="H16" s="113"/>
      <c r="I16" s="361">
        <v>89</v>
      </c>
      <c r="J16" s="361">
        <v>114</v>
      </c>
      <c r="K16" s="108">
        <f t="shared" si="14"/>
        <v>203</v>
      </c>
      <c r="L16" s="361">
        <v>61.7</v>
      </c>
      <c r="M16" s="109">
        <f t="shared" si="15"/>
        <v>150.69999999999999</v>
      </c>
      <c r="N16" s="361">
        <v>10</v>
      </c>
      <c r="O16" s="361">
        <v>151</v>
      </c>
      <c r="P16" s="183">
        <f t="shared" si="8"/>
        <v>0.99801324503311251</v>
      </c>
      <c r="Q16" s="361">
        <v>89</v>
      </c>
      <c r="R16" s="361">
        <v>0</v>
      </c>
      <c r="S16" s="112">
        <v>1451408</v>
      </c>
      <c r="T16" s="110">
        <f t="shared" si="13"/>
        <v>1467754</v>
      </c>
      <c r="U16" s="112">
        <v>1396404</v>
      </c>
      <c r="V16" s="112">
        <v>71350</v>
      </c>
      <c r="W16" s="185">
        <f t="shared" si="9"/>
        <v>4.861168833469369E-2</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row>
    <row r="17" spans="1:67" s="71" customFormat="1">
      <c r="A17" s="90">
        <v>2007</v>
      </c>
      <c r="B17" s="361">
        <v>11</v>
      </c>
      <c r="C17" s="361">
        <v>3</v>
      </c>
      <c r="D17" s="194">
        <f t="shared" si="10"/>
        <v>14</v>
      </c>
      <c r="E17" s="109">
        <f t="shared" si="11"/>
        <v>14</v>
      </c>
      <c r="F17" s="109">
        <f t="shared" si="12"/>
        <v>11</v>
      </c>
      <c r="G17" s="113"/>
      <c r="H17" s="113"/>
      <c r="I17" s="361">
        <v>80</v>
      </c>
      <c r="J17" s="361">
        <v>139</v>
      </c>
      <c r="K17" s="194">
        <f t="shared" si="14"/>
        <v>219</v>
      </c>
      <c r="L17" s="361">
        <v>71.66</v>
      </c>
      <c r="M17" s="109">
        <f t="shared" si="15"/>
        <v>151.66</v>
      </c>
      <c r="N17" s="361">
        <v>13</v>
      </c>
      <c r="O17" s="361">
        <v>152</v>
      </c>
      <c r="P17" s="183">
        <f t="shared" si="8"/>
        <v>0.9977631578947368</v>
      </c>
      <c r="Q17" s="361">
        <v>104</v>
      </c>
      <c r="R17" s="361">
        <v>0</v>
      </c>
      <c r="S17" s="192">
        <v>1358083</v>
      </c>
      <c r="T17" s="110">
        <f t="shared" si="13"/>
        <v>1344749</v>
      </c>
      <c r="U17" s="192">
        <v>1266075</v>
      </c>
      <c r="V17" s="192">
        <v>78674</v>
      </c>
      <c r="W17" s="185">
        <f t="shared" si="9"/>
        <v>5.8504598255882695E-2</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row>
    <row r="18" spans="1:67" s="71" customFormat="1">
      <c r="A18" s="90">
        <v>2006</v>
      </c>
      <c r="B18" s="361">
        <v>10</v>
      </c>
      <c r="C18" s="361">
        <v>3.5</v>
      </c>
      <c r="D18" s="194">
        <f t="shared" si="10"/>
        <v>13.5</v>
      </c>
      <c r="E18" s="109">
        <f t="shared" si="11"/>
        <v>16</v>
      </c>
      <c r="F18" s="109">
        <f t="shared" si="12"/>
        <v>12</v>
      </c>
      <c r="G18" s="113"/>
      <c r="H18" s="113"/>
      <c r="I18" s="361">
        <v>83</v>
      </c>
      <c r="J18" s="361">
        <v>149</v>
      </c>
      <c r="K18" s="194">
        <f t="shared" si="14"/>
        <v>232</v>
      </c>
      <c r="L18" s="361">
        <v>76</v>
      </c>
      <c r="M18" s="109">
        <f t="shared" si="15"/>
        <v>159</v>
      </c>
      <c r="N18" s="361">
        <v>5</v>
      </c>
      <c r="O18" s="361">
        <v>159</v>
      </c>
      <c r="P18" s="183">
        <f t="shared" si="8"/>
        <v>1</v>
      </c>
      <c r="Q18" s="361">
        <v>97</v>
      </c>
      <c r="R18" s="361">
        <v>0</v>
      </c>
      <c r="S18" s="192">
        <v>1288633</v>
      </c>
      <c r="T18" s="110">
        <f t="shared" si="13"/>
        <v>1324261</v>
      </c>
      <c r="U18" s="192">
        <v>1248628</v>
      </c>
      <c r="V18" s="192">
        <v>75633</v>
      </c>
      <c r="W18" s="185">
        <f t="shared" si="9"/>
        <v>5.7113363604304593E-2</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row>
    <row r="19" spans="1:67" s="71" customFormat="1">
      <c r="A19" s="90">
        <v>2005</v>
      </c>
      <c r="B19" s="361">
        <v>11</v>
      </c>
      <c r="C19" s="361">
        <v>6</v>
      </c>
      <c r="D19" s="194">
        <f t="shared" si="10"/>
        <v>17</v>
      </c>
      <c r="E19" s="109">
        <f t="shared" si="11"/>
        <v>18</v>
      </c>
      <c r="F19" s="109">
        <f t="shared" si="12"/>
        <v>12</v>
      </c>
      <c r="G19" s="113"/>
      <c r="H19" s="113"/>
      <c r="I19" s="361">
        <v>119</v>
      </c>
      <c r="J19" s="361">
        <v>125</v>
      </c>
      <c r="K19" s="194">
        <f t="shared" si="14"/>
        <v>244</v>
      </c>
      <c r="L19" s="361">
        <v>84</v>
      </c>
      <c r="M19" s="109">
        <f t="shared" si="15"/>
        <v>203</v>
      </c>
      <c r="N19" s="361">
        <v>12</v>
      </c>
      <c r="O19" s="361">
        <v>203</v>
      </c>
      <c r="P19" s="183">
        <f t="shared" si="8"/>
        <v>1</v>
      </c>
      <c r="Q19" s="361">
        <v>103</v>
      </c>
      <c r="R19" s="361">
        <v>0</v>
      </c>
      <c r="S19" s="192">
        <v>1352555</v>
      </c>
      <c r="T19" s="110">
        <f t="shared" si="13"/>
        <v>1390286</v>
      </c>
      <c r="U19" s="192">
        <v>1117753</v>
      </c>
      <c r="V19" s="192">
        <v>272533</v>
      </c>
      <c r="W19" s="185">
        <f t="shared" si="9"/>
        <v>0.19602657294973841</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row>
    <row r="20" spans="1:67" s="71" customFormat="1">
      <c r="A20" s="90">
        <v>2004</v>
      </c>
      <c r="B20" s="195">
        <v>10</v>
      </c>
      <c r="C20" s="195">
        <v>2</v>
      </c>
      <c r="D20" s="194">
        <f t="shared" si="10"/>
        <v>12</v>
      </c>
      <c r="E20" s="109">
        <f t="shared" si="11"/>
        <v>20</v>
      </c>
      <c r="F20" s="109">
        <f t="shared" si="12"/>
        <v>17</v>
      </c>
      <c r="G20" s="113"/>
      <c r="H20" s="113"/>
      <c r="I20" s="195">
        <v>110</v>
      </c>
      <c r="J20" s="195">
        <v>139</v>
      </c>
      <c r="K20" s="194">
        <f t="shared" si="14"/>
        <v>249</v>
      </c>
      <c r="L20" s="195">
        <v>93</v>
      </c>
      <c r="M20" s="109">
        <f t="shared" si="15"/>
        <v>203</v>
      </c>
      <c r="N20" s="195">
        <v>13</v>
      </c>
      <c r="O20" s="195">
        <v>203</v>
      </c>
      <c r="P20" s="183">
        <f t="shared" si="8"/>
        <v>1</v>
      </c>
      <c r="Q20" s="195">
        <v>95</v>
      </c>
      <c r="R20" s="361">
        <v>0</v>
      </c>
      <c r="S20" s="192">
        <v>1428774</v>
      </c>
      <c r="T20" s="110">
        <f t="shared" si="13"/>
        <v>1567897</v>
      </c>
      <c r="U20" s="192">
        <v>1247731</v>
      </c>
      <c r="V20" s="192">
        <v>320166</v>
      </c>
      <c r="W20" s="185">
        <f t="shared" si="9"/>
        <v>0.20420091370797955</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row>
    <row r="21" spans="1:67" s="71" customFormat="1">
      <c r="A21" s="90">
        <v>2003</v>
      </c>
      <c r="B21" s="195">
        <v>10</v>
      </c>
      <c r="C21" s="195">
        <v>3</v>
      </c>
      <c r="D21" s="194">
        <f t="shared" si="10"/>
        <v>13</v>
      </c>
      <c r="E21" s="109">
        <f t="shared" si="11"/>
        <v>19</v>
      </c>
      <c r="F21" s="109">
        <f t="shared" si="12"/>
        <v>15</v>
      </c>
      <c r="G21" s="113"/>
      <c r="H21" s="113"/>
      <c r="I21" s="195">
        <v>93</v>
      </c>
      <c r="J21" s="195">
        <v>143</v>
      </c>
      <c r="K21" s="194">
        <f t="shared" si="14"/>
        <v>236</v>
      </c>
      <c r="L21" s="195">
        <v>96</v>
      </c>
      <c r="M21" s="109">
        <f t="shared" si="15"/>
        <v>189</v>
      </c>
      <c r="N21" s="195">
        <v>9</v>
      </c>
      <c r="O21" s="195">
        <v>194</v>
      </c>
      <c r="P21" s="183">
        <f t="shared" si="8"/>
        <v>0.97422680412371132</v>
      </c>
      <c r="Q21" s="195">
        <v>79</v>
      </c>
      <c r="R21" s="361">
        <v>0</v>
      </c>
      <c r="S21" s="192">
        <v>1440296</v>
      </c>
      <c r="T21" s="110">
        <f t="shared" si="13"/>
        <v>1657494</v>
      </c>
      <c r="U21" s="192">
        <v>1195715</v>
      </c>
      <c r="V21" s="192">
        <v>461779</v>
      </c>
      <c r="W21" s="185">
        <f t="shared" si="9"/>
        <v>0.27860070685022087</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row>
    <row r="22" spans="1:67" s="71" customFormat="1">
      <c r="A22" s="90">
        <v>2002</v>
      </c>
      <c r="B22" s="195">
        <v>11</v>
      </c>
      <c r="C22" s="195">
        <f>ROUND(2.25, 0)</f>
        <v>2</v>
      </c>
      <c r="D22" s="194">
        <f t="shared" si="10"/>
        <v>13</v>
      </c>
      <c r="E22" s="109">
        <f t="shared" si="11"/>
        <v>15</v>
      </c>
      <c r="F22" s="109">
        <f t="shared" si="12"/>
        <v>13</v>
      </c>
      <c r="G22" s="113"/>
      <c r="H22" s="113"/>
      <c r="I22" s="195">
        <v>77</v>
      </c>
      <c r="J22" s="195">
        <v>133</v>
      </c>
      <c r="K22" s="194">
        <f t="shared" si="14"/>
        <v>210</v>
      </c>
      <c r="L22" s="195">
        <f>ROUND(89.11, 0)</f>
        <v>89</v>
      </c>
      <c r="M22" s="109">
        <f t="shared" si="15"/>
        <v>166</v>
      </c>
      <c r="N22" s="195">
        <v>4</v>
      </c>
      <c r="O22" s="195">
        <f>ROUND(166.11, 0)</f>
        <v>166</v>
      </c>
      <c r="P22" s="183">
        <f t="shared" si="8"/>
        <v>1</v>
      </c>
      <c r="Q22" s="195">
        <v>67</v>
      </c>
      <c r="R22" s="361">
        <v>0</v>
      </c>
      <c r="S22" s="192">
        <v>1239746</v>
      </c>
      <c r="T22" s="110">
        <f t="shared" si="13"/>
        <v>1560121</v>
      </c>
      <c r="U22" s="192">
        <v>1077804</v>
      </c>
      <c r="V22" s="192">
        <v>482317</v>
      </c>
      <c r="W22" s="185">
        <f t="shared" si="9"/>
        <v>0.30915358488219824</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row>
    <row r="23" spans="1:67" s="14" customFormat="1">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row>
    <row r="24" spans="1:67" s="14" customFormat="1">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row>
    <row r="25" spans="1:67" s="14" customFormat="1">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row>
    <row r="26" spans="1:67" s="14" customFormat="1">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row>
    <row r="27" spans="1:67"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row>
    <row r="28" spans="1:67"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row>
    <row r="29" spans="1:67"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c r="BN29" s="383"/>
      <c r="BO29" s="383"/>
    </row>
    <row r="30" spans="1:67"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row>
    <row r="31" spans="1:67"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row>
    <row r="32" spans="1:67"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row>
    <row r="33" spans="24:67"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row>
    <row r="34" spans="24:67" s="14" customFormat="1">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row>
  </sheetData>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L34"/>
  <sheetViews>
    <sheetView workbookViewId="0">
      <selection activeCell="H32" sqref="H32"/>
    </sheetView>
  </sheetViews>
  <sheetFormatPr defaultColWidth="8.85546875" defaultRowHeight="15"/>
  <cols>
    <col min="1" max="1" width="9.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230</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93" customFormat="1">
      <c r="A3" s="6">
        <v>2021</v>
      </c>
      <c r="B3" s="562">
        <v>5</v>
      </c>
      <c r="C3" s="562">
        <v>4</v>
      </c>
      <c r="D3" s="437">
        <f>SUM(B3:C3)</f>
        <v>9</v>
      </c>
      <c r="E3" s="448">
        <f t="shared" ref="E3" si="0">ROUND((O3/B3), 0)</f>
        <v>30</v>
      </c>
      <c r="F3" s="448">
        <f t="shared" ref="F3" si="1">ROUND((O3/D3), 0)</f>
        <v>17</v>
      </c>
      <c r="G3" s="562">
        <v>5</v>
      </c>
      <c r="H3" s="562">
        <v>4</v>
      </c>
      <c r="I3" s="562">
        <v>26</v>
      </c>
      <c r="J3" s="562">
        <v>88</v>
      </c>
      <c r="K3" s="437">
        <f t="shared" ref="K3" si="2">SUM(I3:J3)</f>
        <v>114</v>
      </c>
      <c r="L3" s="562">
        <v>44</v>
      </c>
      <c r="M3" s="427">
        <f>(I3+L3)</f>
        <v>70</v>
      </c>
      <c r="N3" s="562">
        <v>40</v>
      </c>
      <c r="O3" s="562">
        <v>149</v>
      </c>
      <c r="P3" s="438">
        <f t="shared" ref="P3" si="3">M3/O3</f>
        <v>0.46979865771812079</v>
      </c>
      <c r="Q3" s="562">
        <v>76</v>
      </c>
      <c r="R3" s="562">
        <v>63</v>
      </c>
      <c r="S3" s="565">
        <v>1028592</v>
      </c>
      <c r="T3" s="415">
        <f t="shared" ref="T3" si="4">SUM(U3:V3)</f>
        <v>2969119</v>
      </c>
      <c r="U3" s="565">
        <f>1631147+1337972</f>
        <v>2969119</v>
      </c>
      <c r="V3" s="566">
        <v>0</v>
      </c>
      <c r="W3" s="335">
        <f t="shared" ref="W3" si="5">V3/T3</f>
        <v>0</v>
      </c>
    </row>
    <row r="4" spans="1:220" s="493" customFormat="1">
      <c r="A4" s="6">
        <v>2020</v>
      </c>
      <c r="B4" s="562">
        <v>5</v>
      </c>
      <c r="C4" s="562">
        <v>12</v>
      </c>
      <c r="D4" s="437">
        <f>SUM(B4:C4)</f>
        <v>17</v>
      </c>
      <c r="E4" s="448"/>
      <c r="F4" s="448"/>
      <c r="G4" s="562">
        <v>5</v>
      </c>
      <c r="H4" s="562">
        <v>7</v>
      </c>
      <c r="I4" s="562">
        <v>52</v>
      </c>
      <c r="J4" s="562">
        <v>77</v>
      </c>
      <c r="K4" s="437">
        <f t="shared" ref="K4" si="6">SUM(I4:J4)</f>
        <v>129</v>
      </c>
      <c r="L4" s="562">
        <v>52</v>
      </c>
      <c r="M4" s="427">
        <f>(I4+L4)</f>
        <v>104</v>
      </c>
      <c r="N4" s="562">
        <v>35</v>
      </c>
      <c r="O4" s="562">
        <v>176</v>
      </c>
      <c r="P4" s="438">
        <f t="shared" ref="P4" si="7">M4/O4</f>
        <v>0.59090909090909094</v>
      </c>
      <c r="Q4" s="562">
        <v>69</v>
      </c>
      <c r="R4" s="562">
        <v>24</v>
      </c>
      <c r="S4" s="565">
        <v>933958</v>
      </c>
      <c r="T4" s="415">
        <f>SUM(U4:V4)</f>
        <v>3383674</v>
      </c>
      <c r="U4" s="565">
        <v>2750133</v>
      </c>
      <c r="V4" s="566">
        <v>633541</v>
      </c>
      <c r="W4" s="335">
        <f t="shared" ref="W4" si="8">V4/T4</f>
        <v>0.18723464494510997</v>
      </c>
    </row>
    <row r="5" spans="1:220" s="416" customFormat="1">
      <c r="A5" s="6">
        <v>2019</v>
      </c>
      <c r="B5" s="412">
        <v>5</v>
      </c>
      <c r="C5" s="412">
        <v>8</v>
      </c>
      <c r="D5" s="410">
        <f>SUM(B5:C5)</f>
        <v>13</v>
      </c>
      <c r="E5" s="411">
        <f>ROUND((O5/B5), 0)</f>
        <v>57</v>
      </c>
      <c r="F5" s="411">
        <f>ROUND((O5/D5), 0)</f>
        <v>22</v>
      </c>
      <c r="G5" s="412">
        <v>5</v>
      </c>
      <c r="H5" s="412">
        <v>8</v>
      </c>
      <c r="I5" s="412">
        <v>79</v>
      </c>
      <c r="J5" s="412">
        <v>84</v>
      </c>
      <c r="K5" s="410">
        <f t="shared" ref="K5" si="9">SUM(I5:J5)</f>
        <v>163</v>
      </c>
      <c r="L5" s="412">
        <v>31</v>
      </c>
      <c r="M5" s="411">
        <f>(I5+L5)</f>
        <v>110</v>
      </c>
      <c r="N5" s="412">
        <v>34</v>
      </c>
      <c r="O5" s="412">
        <v>285</v>
      </c>
      <c r="P5" s="413">
        <f t="shared" ref="P5" si="10">M5/O5</f>
        <v>0.38596491228070173</v>
      </c>
      <c r="Q5" s="412">
        <v>64</v>
      </c>
      <c r="R5" s="412">
        <v>40</v>
      </c>
      <c r="S5" s="473">
        <v>1378034</v>
      </c>
      <c r="T5" s="415">
        <v>2786144</v>
      </c>
      <c r="U5" s="474">
        <v>2889212</v>
      </c>
      <c r="V5" s="474">
        <v>322486</v>
      </c>
      <c r="W5" s="335">
        <f t="shared" ref="W5" si="11">V5/T5</f>
        <v>0.11574635051167492</v>
      </c>
    </row>
    <row r="6" spans="1:220" s="17" customFormat="1">
      <c r="A6" s="33">
        <v>2018</v>
      </c>
      <c r="B6" s="20">
        <v>8</v>
      </c>
      <c r="C6" s="20">
        <v>6</v>
      </c>
      <c r="D6" s="29">
        <f>SUM(B6:C6)</f>
        <v>14</v>
      </c>
      <c r="E6" s="172">
        <f>ROUND((O6/B6), 0)</f>
        <v>14</v>
      </c>
      <c r="F6" s="172">
        <f>ROUND((O6/D6), 0)</f>
        <v>8</v>
      </c>
      <c r="G6" s="20">
        <v>8</v>
      </c>
      <c r="H6" s="20">
        <v>6</v>
      </c>
      <c r="I6" s="20">
        <v>5</v>
      </c>
      <c r="J6" s="20">
        <v>132</v>
      </c>
      <c r="K6" s="29">
        <f>SUM(I6:J6)</f>
        <v>137</v>
      </c>
      <c r="L6" s="20">
        <v>44</v>
      </c>
      <c r="M6" s="172">
        <f>(I6+L6)</f>
        <v>49</v>
      </c>
      <c r="N6" s="20">
        <v>6</v>
      </c>
      <c r="O6" s="20">
        <v>108</v>
      </c>
      <c r="P6" s="183">
        <f>M6/O6</f>
        <v>0.45370370370370372</v>
      </c>
      <c r="Q6" s="20">
        <v>58</v>
      </c>
      <c r="R6" s="20">
        <v>52</v>
      </c>
      <c r="S6" s="374">
        <v>1876734</v>
      </c>
      <c r="T6" s="30">
        <f>SUM(U6:V6)</f>
        <v>2290606</v>
      </c>
      <c r="U6" s="24">
        <v>2118210</v>
      </c>
      <c r="V6" s="24">
        <v>172396</v>
      </c>
      <c r="W6" s="185">
        <f>V6/T6</f>
        <v>7.5262179528037557E-2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8</v>
      </c>
      <c r="C7" s="20">
        <v>6</v>
      </c>
      <c r="D7" s="34">
        <f>SUM(B7:C7)</f>
        <v>14</v>
      </c>
      <c r="E7" s="34">
        <f>ROUND((O7/B7), 0)</f>
        <v>20</v>
      </c>
      <c r="F7" s="34">
        <f>ROUND((O7/D7), 0)</f>
        <v>12</v>
      </c>
      <c r="G7" s="20">
        <v>8</v>
      </c>
      <c r="H7" s="20">
        <v>6</v>
      </c>
      <c r="I7" s="20">
        <v>39</v>
      </c>
      <c r="J7" s="20">
        <v>104</v>
      </c>
      <c r="K7" s="34">
        <f>SUM(I7:J7)</f>
        <v>143</v>
      </c>
      <c r="L7" s="20">
        <v>75</v>
      </c>
      <c r="M7" s="36">
        <f>(I7+L7)</f>
        <v>114</v>
      </c>
      <c r="N7" s="344">
        <v>31</v>
      </c>
      <c r="O7" s="344">
        <v>162</v>
      </c>
      <c r="P7" s="183">
        <f t="shared" ref="P7:P22" si="12">M7/O7</f>
        <v>0.70370370370370372</v>
      </c>
      <c r="Q7" s="20">
        <v>92</v>
      </c>
      <c r="R7" s="20">
        <v>47</v>
      </c>
      <c r="S7" s="300">
        <v>2157456</v>
      </c>
      <c r="T7" s="35">
        <f>SUM(U7:V7)</f>
        <v>2729191</v>
      </c>
      <c r="U7" s="341">
        <v>2389400</v>
      </c>
      <c r="V7" s="24">
        <v>339791</v>
      </c>
      <c r="W7" s="185">
        <f t="shared" ref="W7:W22" si="13">V7/T7</f>
        <v>0.12450246245132715</v>
      </c>
    </row>
    <row r="8" spans="1:220" s="65" customFormat="1">
      <c r="A8" s="95">
        <v>2016</v>
      </c>
      <c r="B8" s="63">
        <v>9</v>
      </c>
      <c r="C8" s="63">
        <v>3</v>
      </c>
      <c r="D8" s="81">
        <f>B8+C8</f>
        <v>12</v>
      </c>
      <c r="E8" s="82">
        <f>ROUND((O8/B8), 0)</f>
        <v>28</v>
      </c>
      <c r="F8" s="82">
        <f>ROUND((O8/D8), 0)</f>
        <v>21</v>
      </c>
      <c r="G8" s="63">
        <v>8</v>
      </c>
      <c r="H8" s="63">
        <v>3</v>
      </c>
      <c r="I8" s="63">
        <v>61</v>
      </c>
      <c r="J8" s="63">
        <v>91</v>
      </c>
      <c r="K8" s="81">
        <f>I8+J8</f>
        <v>152</v>
      </c>
      <c r="L8" s="63">
        <v>76</v>
      </c>
      <c r="M8" s="82">
        <f>I8+L8</f>
        <v>137</v>
      </c>
      <c r="N8" s="63">
        <v>34</v>
      </c>
      <c r="O8" s="63">
        <v>255</v>
      </c>
      <c r="P8" s="183">
        <f t="shared" si="12"/>
        <v>0.53725490196078429</v>
      </c>
      <c r="Q8" s="63">
        <v>89</v>
      </c>
      <c r="R8" s="63">
        <v>73</v>
      </c>
      <c r="S8" s="64">
        <v>1848140</v>
      </c>
      <c r="T8" s="85">
        <f>SUM(U8:V8)</f>
        <v>2716900</v>
      </c>
      <c r="U8" s="64">
        <v>2611900</v>
      </c>
      <c r="V8" s="64">
        <v>105000</v>
      </c>
      <c r="W8" s="185">
        <f t="shared" si="13"/>
        <v>3.8646987375317458E-2</v>
      </c>
    </row>
    <row r="9" spans="1:220" s="105" customFormat="1">
      <c r="A9" s="90">
        <v>2015</v>
      </c>
      <c r="B9" s="91">
        <v>10</v>
      </c>
      <c r="C9" s="91">
        <v>1.3</v>
      </c>
      <c r="D9" s="81">
        <v>11.3</v>
      </c>
      <c r="E9" s="81">
        <v>16.399999999999999</v>
      </c>
      <c r="F9" s="81">
        <v>14.5</v>
      </c>
      <c r="G9" s="111"/>
      <c r="H9" s="111"/>
      <c r="I9" s="91">
        <v>34</v>
      </c>
      <c r="J9" s="91">
        <v>177</v>
      </c>
      <c r="K9" s="81">
        <v>211</v>
      </c>
      <c r="L9" s="91">
        <v>92</v>
      </c>
      <c r="M9" s="81">
        <v>126.4</v>
      </c>
      <c r="N9" s="91">
        <v>44</v>
      </c>
      <c r="O9" s="91">
        <v>164.2</v>
      </c>
      <c r="P9" s="183">
        <f t="shared" si="12"/>
        <v>0.76979293544457983</v>
      </c>
      <c r="Q9" s="91">
        <v>107</v>
      </c>
      <c r="R9" s="91">
        <v>4</v>
      </c>
      <c r="S9" s="102">
        <v>2710776</v>
      </c>
      <c r="T9" s="103">
        <v>3215338</v>
      </c>
      <c r="U9" s="102">
        <v>2835100</v>
      </c>
      <c r="V9" s="102">
        <v>380238</v>
      </c>
      <c r="W9" s="185">
        <f t="shared" si="13"/>
        <v>0.11825755177216206</v>
      </c>
    </row>
    <row r="10" spans="1:220" s="168" customFormat="1">
      <c r="A10" s="90">
        <v>2014</v>
      </c>
      <c r="B10" s="91">
        <v>10</v>
      </c>
      <c r="C10" s="91">
        <v>1.5</v>
      </c>
      <c r="D10" s="81">
        <f>B10+C10</f>
        <v>11.5</v>
      </c>
      <c r="E10" s="82">
        <f t="shared" ref="E10:E17" si="14">ROUND((O10/B10), 0)</f>
        <v>18</v>
      </c>
      <c r="F10" s="82">
        <f t="shared" ref="F10:F22" si="15">ROUND((O10/D10), 0)</f>
        <v>15</v>
      </c>
      <c r="G10" s="111"/>
      <c r="H10" s="111"/>
      <c r="I10" s="91">
        <v>32</v>
      </c>
      <c r="J10" s="91">
        <v>172</v>
      </c>
      <c r="K10" s="81">
        <f>I10+J10</f>
        <v>204</v>
      </c>
      <c r="L10" s="91">
        <v>106.33</v>
      </c>
      <c r="M10" s="82">
        <f>I10+L10</f>
        <v>138.32999999999998</v>
      </c>
      <c r="N10" s="91">
        <v>34</v>
      </c>
      <c r="O10" s="91">
        <v>176</v>
      </c>
      <c r="P10" s="183">
        <f t="shared" si="12"/>
        <v>0.78596590909090902</v>
      </c>
      <c r="Q10" s="91">
        <v>170</v>
      </c>
      <c r="R10" s="91">
        <v>5</v>
      </c>
      <c r="S10" s="92">
        <v>2461997</v>
      </c>
      <c r="T10" s="85">
        <f t="shared" ref="T10:T22" si="16">SUM(U10:V10)</f>
        <v>3202091</v>
      </c>
      <c r="U10" s="92">
        <v>2953900</v>
      </c>
      <c r="V10" s="92">
        <v>248191</v>
      </c>
      <c r="W10" s="185">
        <f t="shared" si="13"/>
        <v>7.7509040186553094E-2</v>
      </c>
    </row>
    <row r="11" spans="1:220" s="71" customFormat="1">
      <c r="A11" s="90">
        <v>2013</v>
      </c>
      <c r="B11" s="361">
        <v>11</v>
      </c>
      <c r="C11" s="361">
        <v>1.23</v>
      </c>
      <c r="D11" s="108">
        <f>B11+C11</f>
        <v>12.23</v>
      </c>
      <c r="E11" s="109">
        <f t="shared" si="14"/>
        <v>14</v>
      </c>
      <c r="F11" s="109">
        <f t="shared" si="15"/>
        <v>13</v>
      </c>
      <c r="G11" s="113"/>
      <c r="H11" s="113"/>
      <c r="I11" s="361">
        <v>52</v>
      </c>
      <c r="J11" s="361">
        <v>154</v>
      </c>
      <c r="K11" s="108">
        <f>I11+J11</f>
        <v>206</v>
      </c>
      <c r="L11" s="361">
        <v>87.2</v>
      </c>
      <c r="M11" s="109">
        <f>I11+L11</f>
        <v>139.19999999999999</v>
      </c>
      <c r="N11" s="361">
        <v>33</v>
      </c>
      <c r="O11" s="361">
        <v>157.19999999999999</v>
      </c>
      <c r="P11" s="183">
        <f t="shared" si="12"/>
        <v>0.8854961832061069</v>
      </c>
      <c r="Q11" s="361">
        <v>85</v>
      </c>
      <c r="R11" s="361">
        <v>3</v>
      </c>
      <c r="S11" s="112">
        <v>1400683</v>
      </c>
      <c r="T11" s="110">
        <f t="shared" si="16"/>
        <v>2787398</v>
      </c>
      <c r="U11" s="112">
        <v>2787398</v>
      </c>
      <c r="V11" s="112">
        <v>0</v>
      </c>
      <c r="W11" s="185">
        <f t="shared" si="13"/>
        <v>0</v>
      </c>
    </row>
    <row r="12" spans="1:220" s="71" customFormat="1">
      <c r="A12" s="90">
        <v>2012</v>
      </c>
      <c r="B12" s="361">
        <v>11</v>
      </c>
      <c r="C12" s="361">
        <v>3.32</v>
      </c>
      <c r="D12" s="108">
        <f>B12+C12</f>
        <v>14.32</v>
      </c>
      <c r="E12" s="109">
        <f t="shared" si="14"/>
        <v>23</v>
      </c>
      <c r="F12" s="109">
        <f t="shared" si="15"/>
        <v>17</v>
      </c>
      <c r="G12" s="113"/>
      <c r="H12" s="113"/>
      <c r="I12" s="361">
        <v>78</v>
      </c>
      <c r="J12" s="361">
        <v>196</v>
      </c>
      <c r="K12" s="108">
        <f>I12+J12</f>
        <v>274</v>
      </c>
      <c r="L12" s="361">
        <v>111.69999999999999</v>
      </c>
      <c r="M12" s="109">
        <f>I12+L12</f>
        <v>189.7</v>
      </c>
      <c r="N12" s="361">
        <v>30</v>
      </c>
      <c r="O12" s="361">
        <v>247.49999999999997</v>
      </c>
      <c r="P12" s="183">
        <f t="shared" si="12"/>
        <v>0.76646464646464652</v>
      </c>
      <c r="Q12" s="361">
        <v>384</v>
      </c>
      <c r="R12" s="361">
        <v>67</v>
      </c>
      <c r="S12" s="112">
        <v>2483901</v>
      </c>
      <c r="T12" s="110">
        <f t="shared" si="16"/>
        <v>3014547</v>
      </c>
      <c r="U12" s="112">
        <v>3014547</v>
      </c>
      <c r="V12" s="112">
        <v>0</v>
      </c>
      <c r="W12" s="185">
        <f t="shared" si="13"/>
        <v>0</v>
      </c>
    </row>
    <row r="13" spans="1:220" s="71" customFormat="1">
      <c r="A13" s="90" t="s">
        <v>81</v>
      </c>
      <c r="B13" s="361">
        <v>11</v>
      </c>
      <c r="C13" s="361">
        <v>7.26</v>
      </c>
      <c r="D13" s="108">
        <f t="shared" ref="D13:D22" si="17">SUM(B13:C13)</f>
        <v>18.259999999999998</v>
      </c>
      <c r="E13" s="109">
        <f t="shared" si="14"/>
        <v>26</v>
      </c>
      <c r="F13" s="109">
        <f t="shared" si="15"/>
        <v>15</v>
      </c>
      <c r="G13" s="113"/>
      <c r="H13" s="113"/>
      <c r="I13" s="361">
        <v>94</v>
      </c>
      <c r="J13" s="361">
        <v>248</v>
      </c>
      <c r="K13" s="108">
        <f>SUM(I13:J13)</f>
        <v>342</v>
      </c>
      <c r="L13" s="361">
        <v>138</v>
      </c>
      <c r="M13" s="109">
        <f>(I13+L13)</f>
        <v>232</v>
      </c>
      <c r="N13" s="361">
        <v>25</v>
      </c>
      <c r="O13" s="361">
        <v>283</v>
      </c>
      <c r="P13" s="183">
        <f t="shared" si="12"/>
        <v>0.81978798586572443</v>
      </c>
      <c r="Q13" s="361">
        <v>168</v>
      </c>
      <c r="R13" s="361">
        <v>66</v>
      </c>
      <c r="S13" s="112">
        <v>3896455</v>
      </c>
      <c r="T13" s="110">
        <f t="shared" si="16"/>
        <v>3528320</v>
      </c>
      <c r="U13" s="112">
        <v>3518572</v>
      </c>
      <c r="V13" s="112">
        <v>9748</v>
      </c>
      <c r="W13" s="185">
        <f t="shared" si="13"/>
        <v>2.762787955740976E-3</v>
      </c>
    </row>
    <row r="14" spans="1:220" s="71" customFormat="1">
      <c r="A14" s="90" t="s">
        <v>82</v>
      </c>
      <c r="B14" s="361">
        <v>12</v>
      </c>
      <c r="C14" s="361">
        <v>7.26</v>
      </c>
      <c r="D14" s="108">
        <f t="shared" si="17"/>
        <v>19.259999999999998</v>
      </c>
      <c r="E14" s="109">
        <f t="shared" si="14"/>
        <v>26</v>
      </c>
      <c r="F14" s="109">
        <f t="shared" si="15"/>
        <v>16</v>
      </c>
      <c r="G14" s="113"/>
      <c r="H14" s="113"/>
      <c r="I14" s="361">
        <v>122</v>
      </c>
      <c r="J14" s="361">
        <v>288</v>
      </c>
      <c r="K14" s="108">
        <f>SUM(I14:J14)</f>
        <v>410</v>
      </c>
      <c r="L14" s="361">
        <v>162</v>
      </c>
      <c r="M14" s="109">
        <f>(I14+L14)</f>
        <v>284</v>
      </c>
      <c r="N14" s="361">
        <v>49</v>
      </c>
      <c r="O14" s="361">
        <v>316.5</v>
      </c>
      <c r="P14" s="183">
        <f t="shared" si="12"/>
        <v>0.89731437598736175</v>
      </c>
      <c r="Q14" s="361">
        <v>126</v>
      </c>
      <c r="R14" s="361">
        <v>55</v>
      </c>
      <c r="S14" s="112">
        <v>2781137.99</v>
      </c>
      <c r="T14" s="110">
        <f t="shared" si="16"/>
        <v>2781138</v>
      </c>
      <c r="U14" s="112">
        <v>2691138</v>
      </c>
      <c r="V14" s="112">
        <v>90000</v>
      </c>
      <c r="W14" s="185">
        <f t="shared" si="13"/>
        <v>3.2360853722469003E-2</v>
      </c>
    </row>
    <row r="15" spans="1:220" s="71" customFormat="1">
      <c r="A15" s="90" t="s">
        <v>83</v>
      </c>
      <c r="B15" s="361">
        <v>12</v>
      </c>
      <c r="C15" s="361">
        <v>7</v>
      </c>
      <c r="D15" s="108">
        <f t="shared" si="17"/>
        <v>19</v>
      </c>
      <c r="E15" s="109">
        <f t="shared" si="14"/>
        <v>27</v>
      </c>
      <c r="F15" s="109">
        <f t="shared" si="15"/>
        <v>17</v>
      </c>
      <c r="G15" s="113"/>
      <c r="H15" s="113"/>
      <c r="I15" s="361">
        <v>113</v>
      </c>
      <c r="J15" s="361">
        <v>280</v>
      </c>
      <c r="K15" s="108">
        <f>SUM(I15:J15)</f>
        <v>393</v>
      </c>
      <c r="L15" s="361">
        <v>150.5</v>
      </c>
      <c r="M15" s="109">
        <f>(I15+L15)</f>
        <v>263.5</v>
      </c>
      <c r="N15" s="361">
        <v>51</v>
      </c>
      <c r="O15" s="361">
        <v>325.7</v>
      </c>
      <c r="P15" s="183">
        <f t="shared" si="12"/>
        <v>0.80902671169788154</v>
      </c>
      <c r="Q15" s="361">
        <v>133</v>
      </c>
      <c r="R15" s="361">
        <v>66</v>
      </c>
      <c r="S15" s="112">
        <v>2655045.85</v>
      </c>
      <c r="T15" s="110">
        <f t="shared" si="16"/>
        <v>2655046</v>
      </c>
      <c r="U15" s="112">
        <v>2600046</v>
      </c>
      <c r="V15" s="112">
        <v>55000</v>
      </c>
      <c r="W15" s="185">
        <f t="shared" si="13"/>
        <v>2.07152719764554E-2</v>
      </c>
    </row>
    <row r="16" spans="1:220" s="71" customFormat="1">
      <c r="A16" s="90" t="s">
        <v>84</v>
      </c>
      <c r="B16" s="361">
        <v>14</v>
      </c>
      <c r="C16" s="361">
        <v>7.5</v>
      </c>
      <c r="D16" s="108">
        <f t="shared" si="17"/>
        <v>21.5</v>
      </c>
      <c r="E16" s="109">
        <f t="shared" si="14"/>
        <v>18</v>
      </c>
      <c r="F16" s="109">
        <f t="shared" si="15"/>
        <v>12</v>
      </c>
      <c r="G16" s="113"/>
      <c r="H16" s="113"/>
      <c r="I16" s="361">
        <v>95</v>
      </c>
      <c r="J16" s="361">
        <v>244</v>
      </c>
      <c r="K16" s="108">
        <f>SUM(I16:J16)</f>
        <v>339</v>
      </c>
      <c r="L16" s="361">
        <v>134</v>
      </c>
      <c r="M16" s="109">
        <f>(I16+L16)</f>
        <v>229</v>
      </c>
      <c r="N16" s="361">
        <v>45</v>
      </c>
      <c r="O16" s="361">
        <v>253</v>
      </c>
      <c r="P16" s="183">
        <f t="shared" si="12"/>
        <v>0.90513833992094861</v>
      </c>
      <c r="Q16" s="361">
        <v>117</v>
      </c>
      <c r="R16" s="361">
        <v>35</v>
      </c>
      <c r="S16" s="112">
        <v>2754517</v>
      </c>
      <c r="T16" s="110">
        <f t="shared" si="16"/>
        <v>2754517</v>
      </c>
      <c r="U16" s="112">
        <v>2754517</v>
      </c>
      <c r="V16" s="112">
        <v>0</v>
      </c>
      <c r="W16" s="185">
        <f t="shared" si="13"/>
        <v>0</v>
      </c>
    </row>
    <row r="17" spans="1:23" s="71" customFormat="1">
      <c r="A17" s="90">
        <v>2007</v>
      </c>
      <c r="B17" s="361">
        <v>15</v>
      </c>
      <c r="C17" s="361">
        <v>8</v>
      </c>
      <c r="D17" s="109">
        <f t="shared" si="17"/>
        <v>23</v>
      </c>
      <c r="E17" s="109">
        <f t="shared" si="14"/>
        <v>16</v>
      </c>
      <c r="F17" s="109">
        <f t="shared" si="15"/>
        <v>11</v>
      </c>
      <c r="G17" s="113"/>
      <c r="H17" s="113"/>
      <c r="I17" s="361">
        <v>82</v>
      </c>
      <c r="J17" s="361">
        <v>236</v>
      </c>
      <c r="K17" s="108">
        <v>318</v>
      </c>
      <c r="L17" s="361">
        <v>133</v>
      </c>
      <c r="M17" s="108">
        <v>215</v>
      </c>
      <c r="N17" s="361">
        <v>43</v>
      </c>
      <c r="O17" s="361">
        <v>242</v>
      </c>
      <c r="P17" s="183">
        <f t="shared" si="12"/>
        <v>0.88842975206611574</v>
      </c>
      <c r="Q17" s="361">
        <v>181</v>
      </c>
      <c r="R17" s="361">
        <v>9</v>
      </c>
      <c r="S17" s="192">
        <v>2696474</v>
      </c>
      <c r="T17" s="110">
        <f t="shared" si="16"/>
        <v>2696474</v>
      </c>
      <c r="U17" s="192">
        <v>2648574</v>
      </c>
      <c r="V17" s="192">
        <v>47900</v>
      </c>
      <c r="W17" s="185">
        <f t="shared" si="13"/>
        <v>1.7763939129396389E-2</v>
      </c>
    </row>
    <row r="18" spans="1:23" s="71" customFormat="1">
      <c r="A18" s="90">
        <v>2006</v>
      </c>
      <c r="B18" s="361">
        <v>15</v>
      </c>
      <c r="C18" s="361">
        <v>8</v>
      </c>
      <c r="D18" s="109">
        <f t="shared" si="17"/>
        <v>23</v>
      </c>
      <c r="E18" s="109">
        <f>ROUND((O18/B18), 0)</f>
        <v>20</v>
      </c>
      <c r="F18" s="109">
        <f t="shared" si="15"/>
        <v>13</v>
      </c>
      <c r="G18" s="113"/>
      <c r="H18" s="113"/>
      <c r="I18" s="361">
        <v>103</v>
      </c>
      <c r="J18" s="361">
        <v>292</v>
      </c>
      <c r="K18" s="194">
        <f>SUM(I18:J18)</f>
        <v>395</v>
      </c>
      <c r="L18" s="361">
        <v>158</v>
      </c>
      <c r="M18" s="109">
        <f>(I18+L18)</f>
        <v>261</v>
      </c>
      <c r="N18" s="361">
        <v>38</v>
      </c>
      <c r="O18" s="361">
        <v>301</v>
      </c>
      <c r="P18" s="183">
        <f t="shared" si="12"/>
        <v>0.86710963455149503</v>
      </c>
      <c r="Q18" s="361">
        <v>167</v>
      </c>
      <c r="R18" s="361">
        <v>3</v>
      </c>
      <c r="S18" s="192">
        <v>2952154.95</v>
      </c>
      <c r="T18" s="110">
        <f t="shared" si="16"/>
        <v>2952154.95</v>
      </c>
      <c r="U18" s="192">
        <v>2907154.95</v>
      </c>
      <c r="V18" s="192">
        <v>45000</v>
      </c>
      <c r="W18" s="185">
        <f t="shared" si="13"/>
        <v>1.5243102331061586E-2</v>
      </c>
    </row>
    <row r="19" spans="1:23" s="71" customFormat="1">
      <c r="A19" s="90">
        <v>2005</v>
      </c>
      <c r="B19" s="361">
        <v>15</v>
      </c>
      <c r="C19" s="361">
        <v>6</v>
      </c>
      <c r="D19" s="109">
        <f t="shared" si="17"/>
        <v>21</v>
      </c>
      <c r="E19" s="109">
        <f>ROUND((O19/B19), 0)</f>
        <v>20</v>
      </c>
      <c r="F19" s="109">
        <f t="shared" si="15"/>
        <v>14</v>
      </c>
      <c r="G19" s="113"/>
      <c r="H19" s="113"/>
      <c r="I19" s="361">
        <v>105</v>
      </c>
      <c r="J19" s="361">
        <v>310</v>
      </c>
      <c r="K19" s="194">
        <f>SUM(I19:J19)</f>
        <v>415</v>
      </c>
      <c r="L19" s="361">
        <v>169</v>
      </c>
      <c r="M19" s="109">
        <f>(I19+L19)</f>
        <v>274</v>
      </c>
      <c r="N19" s="361">
        <v>9</v>
      </c>
      <c r="O19" s="361">
        <v>294</v>
      </c>
      <c r="P19" s="183">
        <f t="shared" si="12"/>
        <v>0.93197278911564629</v>
      </c>
      <c r="Q19" s="361">
        <v>192</v>
      </c>
      <c r="R19" s="361">
        <v>3</v>
      </c>
      <c r="S19" s="192">
        <v>2745048.62</v>
      </c>
      <c r="T19" s="110">
        <f t="shared" si="16"/>
        <v>2745048.62</v>
      </c>
      <c r="U19" s="192">
        <v>2630808.62</v>
      </c>
      <c r="V19" s="192">
        <v>114240</v>
      </c>
      <c r="W19" s="185">
        <f t="shared" si="13"/>
        <v>4.1616749214445609E-2</v>
      </c>
    </row>
    <row r="20" spans="1:23" s="71" customFormat="1">
      <c r="A20" s="90">
        <v>2004</v>
      </c>
      <c r="B20" s="195">
        <v>14</v>
      </c>
      <c r="C20" s="195">
        <v>6</v>
      </c>
      <c r="D20" s="109">
        <f t="shared" si="17"/>
        <v>20</v>
      </c>
      <c r="E20" s="109">
        <f>ROUND((O20/B20), 0)</f>
        <v>21</v>
      </c>
      <c r="F20" s="109">
        <f t="shared" si="15"/>
        <v>15</v>
      </c>
      <c r="G20" s="113"/>
      <c r="H20" s="113"/>
      <c r="I20" s="195">
        <v>92</v>
      </c>
      <c r="J20" s="195">
        <v>341</v>
      </c>
      <c r="K20" s="194">
        <f>SUM(I20:J20)</f>
        <v>433</v>
      </c>
      <c r="L20" s="195">
        <v>187</v>
      </c>
      <c r="M20" s="109">
        <f>(I20+L20)</f>
        <v>279</v>
      </c>
      <c r="N20" s="195">
        <v>26</v>
      </c>
      <c r="O20" s="195">
        <v>298</v>
      </c>
      <c r="P20" s="183">
        <f t="shared" si="12"/>
        <v>0.93624161073825507</v>
      </c>
      <c r="Q20" s="195">
        <v>185</v>
      </c>
      <c r="R20" s="361">
        <v>0</v>
      </c>
      <c r="S20" s="192">
        <v>1954252.05</v>
      </c>
      <c r="T20" s="110">
        <f t="shared" si="16"/>
        <v>1954252.05</v>
      </c>
      <c r="U20" s="192">
        <v>1954252.05</v>
      </c>
      <c r="V20" s="192">
        <v>0</v>
      </c>
      <c r="W20" s="185">
        <f t="shared" si="13"/>
        <v>0</v>
      </c>
    </row>
    <row r="21" spans="1:23" s="71" customFormat="1">
      <c r="A21" s="90">
        <v>2003</v>
      </c>
      <c r="B21" s="195">
        <v>14</v>
      </c>
      <c r="C21" s="195">
        <v>7</v>
      </c>
      <c r="D21" s="194">
        <f t="shared" si="17"/>
        <v>21</v>
      </c>
      <c r="E21" s="109">
        <f>ROUND((O21/B21), 0)</f>
        <v>22</v>
      </c>
      <c r="F21" s="109">
        <f t="shared" si="15"/>
        <v>15</v>
      </c>
      <c r="G21" s="113"/>
      <c r="H21" s="113"/>
      <c r="I21" s="195">
        <v>26</v>
      </c>
      <c r="J21" s="195">
        <v>447</v>
      </c>
      <c r="K21" s="194">
        <f>SUM(I21:J21)</f>
        <v>473</v>
      </c>
      <c r="L21" s="195">
        <v>259</v>
      </c>
      <c r="M21" s="109">
        <f>(I21+L21)</f>
        <v>285</v>
      </c>
      <c r="N21" s="195">
        <v>28</v>
      </c>
      <c r="O21" s="195">
        <v>312</v>
      </c>
      <c r="P21" s="183">
        <f t="shared" si="12"/>
        <v>0.91346153846153844</v>
      </c>
      <c r="Q21" s="195">
        <v>137</v>
      </c>
      <c r="R21" s="361">
        <v>3</v>
      </c>
      <c r="S21" s="192">
        <v>1987693</v>
      </c>
      <c r="T21" s="110">
        <f t="shared" si="16"/>
        <v>1987693</v>
      </c>
      <c r="U21" s="192">
        <v>1987693</v>
      </c>
      <c r="V21" s="192">
        <v>0</v>
      </c>
      <c r="W21" s="185">
        <f t="shared" si="13"/>
        <v>0</v>
      </c>
    </row>
    <row r="22" spans="1:23" s="71" customFormat="1">
      <c r="A22" s="90">
        <v>2002</v>
      </c>
      <c r="B22" s="195">
        <v>15</v>
      </c>
      <c r="C22" s="195">
        <v>6</v>
      </c>
      <c r="D22" s="194">
        <f t="shared" si="17"/>
        <v>21</v>
      </c>
      <c r="E22" s="109">
        <f>ROUND((O22/B22), 0)</f>
        <v>18</v>
      </c>
      <c r="F22" s="109">
        <f t="shared" si="15"/>
        <v>13</v>
      </c>
      <c r="G22" s="113"/>
      <c r="H22" s="113"/>
      <c r="I22" s="195">
        <v>24</v>
      </c>
      <c r="J22" s="195">
        <v>391</v>
      </c>
      <c r="K22" s="194">
        <f>SUM(I22:J22)</f>
        <v>415</v>
      </c>
      <c r="L22" s="195">
        <v>216</v>
      </c>
      <c r="M22" s="109">
        <f>(I22+L22)</f>
        <v>240</v>
      </c>
      <c r="N22" s="195">
        <v>45</v>
      </c>
      <c r="O22" s="195">
        <v>273</v>
      </c>
      <c r="P22" s="183">
        <f t="shared" si="12"/>
        <v>0.87912087912087911</v>
      </c>
      <c r="Q22" s="195">
        <v>124</v>
      </c>
      <c r="R22" s="361">
        <v>0</v>
      </c>
      <c r="S22" s="192">
        <v>1842679</v>
      </c>
      <c r="T22" s="110">
        <f t="shared" si="16"/>
        <v>1842679</v>
      </c>
      <c r="U22" s="192">
        <v>1842679</v>
      </c>
      <c r="V22" s="192">
        <v>0</v>
      </c>
      <c r="W22" s="185">
        <f t="shared" si="13"/>
        <v>0</v>
      </c>
    </row>
    <row r="23" spans="1:23" s="14" customFormat="1">
      <c r="A23" s="665" t="s">
        <v>158</v>
      </c>
      <c r="B23" s="656"/>
      <c r="C23" s="656"/>
      <c r="D23" s="656"/>
      <c r="E23" s="656"/>
      <c r="F23" s="656"/>
      <c r="G23" s="656"/>
      <c r="H23" s="656"/>
      <c r="I23" s="656"/>
      <c r="J23" s="656"/>
      <c r="K23" s="656"/>
      <c r="L23" s="656"/>
      <c r="M23" s="656"/>
      <c r="N23" s="656"/>
      <c r="O23" s="656"/>
      <c r="P23" s="656"/>
      <c r="Q23" s="656"/>
      <c r="R23" s="656"/>
      <c r="S23" s="656"/>
      <c r="T23" s="656"/>
      <c r="U23" s="656"/>
      <c r="V23" s="656"/>
      <c r="W23" s="656"/>
    </row>
    <row r="24" spans="1:23">
      <c r="A24" t="s">
        <v>214</v>
      </c>
    </row>
    <row r="25" spans="1:23" s="14" customFormat="1">
      <c r="A25" s="14" t="s">
        <v>215</v>
      </c>
    </row>
    <row r="26" spans="1:23" s="14" customFormat="1">
      <c r="A26" s="14" t="s">
        <v>216</v>
      </c>
    </row>
    <row r="27" spans="1:23" s="14" customFormat="1">
      <c r="A27" s="14" t="s">
        <v>217</v>
      </c>
    </row>
    <row r="28" spans="1:23" s="14" customFormat="1">
      <c r="A28" s="14" t="s">
        <v>218</v>
      </c>
    </row>
    <row r="29" spans="1:23" s="14" customFormat="1"/>
    <row r="30" spans="1:23" s="14" customFormat="1"/>
    <row r="31" spans="1:23" s="14" customFormat="1"/>
    <row r="32" spans="1:23" s="14" customFormat="1"/>
    <row r="33" s="14" customFormat="1"/>
    <row r="34" s="14" customFormat="1"/>
  </sheetData>
  <mergeCells count="1">
    <mergeCell ref="A23:W23"/>
  </mergeCells>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L34"/>
  <sheetViews>
    <sheetView zoomScaleNormal="100" workbookViewId="0">
      <selection activeCell="M32" sqref="M32"/>
    </sheetView>
  </sheetViews>
  <sheetFormatPr defaultColWidth="8.85546875" defaultRowHeight="15"/>
  <cols>
    <col min="1" max="1" width="12.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66</v>
      </c>
      <c r="B1" s="2"/>
      <c r="C1" s="1"/>
      <c r="D1" s="1"/>
      <c r="E1" s="1"/>
      <c r="F1" s="1"/>
      <c r="G1" s="1"/>
      <c r="H1" s="1"/>
      <c r="I1" s="1"/>
      <c r="J1" s="1"/>
      <c r="K1" s="1"/>
      <c r="L1" s="1"/>
      <c r="M1" s="1"/>
      <c r="N1" s="1"/>
      <c r="O1" s="1"/>
      <c r="P1" s="1"/>
      <c r="Q1" s="1"/>
      <c r="R1" s="1"/>
      <c r="S1" s="1"/>
      <c r="T1" s="1"/>
      <c r="U1" s="1"/>
      <c r="V1" s="1"/>
      <c r="W1" s="1"/>
    </row>
    <row r="2" spans="1:220" s="25"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11</v>
      </c>
      <c r="C3" s="409">
        <v>2</v>
      </c>
      <c r="D3" s="410">
        <f>SUM(B3:C3)</f>
        <v>13</v>
      </c>
      <c r="E3" s="411">
        <f>ROUND(N3/B3, 0)</f>
        <v>6</v>
      </c>
      <c r="F3" s="411">
        <f>ROUND((N3/D3), 0)</f>
        <v>5</v>
      </c>
      <c r="G3" s="409">
        <v>10</v>
      </c>
      <c r="H3" s="409">
        <v>2</v>
      </c>
      <c r="I3" s="409">
        <v>81</v>
      </c>
      <c r="J3" s="409">
        <v>272</v>
      </c>
      <c r="K3" s="410">
        <f>SUM(I3:J3)</f>
        <v>353</v>
      </c>
      <c r="L3" s="409">
        <v>126</v>
      </c>
      <c r="M3" s="411">
        <f>(I3+L3)</f>
        <v>207</v>
      </c>
      <c r="N3" s="409">
        <v>66</v>
      </c>
      <c r="O3" s="409">
        <v>226</v>
      </c>
      <c r="P3" s="413">
        <f>M3/O3</f>
        <v>0.91592920353982299</v>
      </c>
      <c r="Q3" s="409">
        <v>73</v>
      </c>
      <c r="R3" s="409">
        <v>29</v>
      </c>
      <c r="S3" s="414">
        <v>1555987</v>
      </c>
      <c r="T3" s="415">
        <f t="shared" ref="T3" si="0">SUM(U3:V3)</f>
        <v>1607190</v>
      </c>
      <c r="U3" s="414">
        <v>1569529</v>
      </c>
      <c r="V3" s="414">
        <v>37661</v>
      </c>
      <c r="W3" s="335">
        <f>V3/T3</f>
        <v>2.3432823748281161E-2</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9</v>
      </c>
      <c r="C4" s="409">
        <v>7</v>
      </c>
      <c r="D4" s="410">
        <f>SUM(B4:C4)</f>
        <v>16</v>
      </c>
      <c r="E4" s="411">
        <f>ROUND((O4/B4), 0)</f>
        <v>17</v>
      </c>
      <c r="F4" s="411">
        <f>ROUND((O4/D4), 0)</f>
        <v>10</v>
      </c>
      <c r="G4" s="409">
        <v>8</v>
      </c>
      <c r="H4" s="409">
        <v>7</v>
      </c>
      <c r="I4" s="409">
        <v>55</v>
      </c>
      <c r="J4" s="409">
        <v>183</v>
      </c>
      <c r="K4" s="410">
        <f t="shared" ref="K4" si="1">SUM(I4:J4)</f>
        <v>238</v>
      </c>
      <c r="L4" s="409">
        <v>83</v>
      </c>
      <c r="M4" s="411">
        <f>(I4+L4)</f>
        <v>138</v>
      </c>
      <c r="N4" s="409">
        <v>53</v>
      </c>
      <c r="O4" s="409">
        <v>153</v>
      </c>
      <c r="P4" s="413">
        <f t="shared" ref="P4" si="2">M4/O4</f>
        <v>0.90196078431372551</v>
      </c>
      <c r="Q4" s="409">
        <v>43</v>
      </c>
      <c r="R4" s="409">
        <v>22</v>
      </c>
      <c r="S4" s="414">
        <v>986985</v>
      </c>
      <c r="T4" s="415">
        <f>SUM(U4:V4)</f>
        <v>1340045</v>
      </c>
      <c r="U4" s="414">
        <v>1340045</v>
      </c>
      <c r="V4" s="414">
        <v>0</v>
      </c>
      <c r="W4" s="335">
        <f t="shared" ref="W4" si="3">V4/T4</f>
        <v>0</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8</v>
      </c>
      <c r="C5" s="409">
        <v>6</v>
      </c>
      <c r="D5" s="410">
        <f>SUM(B5:C5)</f>
        <v>14</v>
      </c>
      <c r="E5" s="411">
        <f>ROUND((O5/B5), 0)</f>
        <v>13</v>
      </c>
      <c r="F5" s="411">
        <f>ROUND((O5/D5), 0)</f>
        <v>8</v>
      </c>
      <c r="G5" s="409">
        <v>8</v>
      </c>
      <c r="H5" s="409">
        <v>6</v>
      </c>
      <c r="I5" s="409">
        <v>39</v>
      </c>
      <c r="J5" s="409">
        <v>146</v>
      </c>
      <c r="K5" s="410">
        <f t="shared" ref="K5" si="4">SUM(I5:J5)</f>
        <v>185</v>
      </c>
      <c r="L5" s="409">
        <v>62</v>
      </c>
      <c r="M5" s="411">
        <f>(I5+L5)</f>
        <v>101</v>
      </c>
      <c r="N5" s="409">
        <v>43</v>
      </c>
      <c r="O5" s="409">
        <v>106</v>
      </c>
      <c r="P5" s="413">
        <f t="shared" ref="P5" si="5">M5/O5</f>
        <v>0.95283018867924529</v>
      </c>
      <c r="Q5" s="409">
        <v>78</v>
      </c>
      <c r="R5" s="409">
        <v>38</v>
      </c>
      <c r="S5" s="414">
        <v>904020</v>
      </c>
      <c r="T5" s="415">
        <f>SUM(U5:V5)</f>
        <v>1268955</v>
      </c>
      <c r="U5" s="414">
        <v>1185740</v>
      </c>
      <c r="V5" s="414">
        <v>83215</v>
      </c>
      <c r="W5" s="335">
        <f t="shared" ref="W5" si="6">V5/T5</f>
        <v>6.5577581553325368E-2</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8</v>
      </c>
      <c r="C6" s="20">
        <v>2</v>
      </c>
      <c r="D6" s="29">
        <f>SUM(B6:C6)</f>
        <v>10</v>
      </c>
      <c r="E6" s="172">
        <f>ROUND((O6/B6), 0)</f>
        <v>14</v>
      </c>
      <c r="F6" s="172">
        <f>ROUND((O6/D6), 0)</f>
        <v>11</v>
      </c>
      <c r="G6" s="20">
        <v>8</v>
      </c>
      <c r="H6" s="20">
        <v>2</v>
      </c>
      <c r="I6" s="20">
        <v>53</v>
      </c>
      <c r="J6" s="20">
        <v>136</v>
      </c>
      <c r="K6" s="29">
        <f t="shared" ref="K6" si="7">SUM(I6:J6)</f>
        <v>189</v>
      </c>
      <c r="L6" s="20">
        <v>56</v>
      </c>
      <c r="M6" s="172">
        <f>(I6+L6)</f>
        <v>109</v>
      </c>
      <c r="N6" s="20">
        <v>45</v>
      </c>
      <c r="O6" s="20">
        <v>113</v>
      </c>
      <c r="P6" s="183">
        <f>M6/O6</f>
        <v>0.96460176991150437</v>
      </c>
      <c r="Q6" s="20">
        <v>57</v>
      </c>
      <c r="R6" s="20">
        <v>6</v>
      </c>
      <c r="S6" s="24">
        <v>827247</v>
      </c>
      <c r="T6" s="30">
        <f>SUM(U6:V6)</f>
        <v>1172857</v>
      </c>
      <c r="U6" s="24">
        <v>1069187</v>
      </c>
      <c r="V6" s="24">
        <v>103670</v>
      </c>
      <c r="W6" s="185">
        <f>V6/T6</f>
        <v>8.8390997367965574E-2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8</v>
      </c>
      <c r="C7" s="20">
        <v>1</v>
      </c>
      <c r="D7" s="34">
        <f>SUM(B7:C7)</f>
        <v>9</v>
      </c>
      <c r="E7" s="34">
        <f>ROUND((O7/B7), 0)</f>
        <v>16</v>
      </c>
      <c r="F7" s="34">
        <f>ROUND((O7/D7), 0)</f>
        <v>14</v>
      </c>
      <c r="G7" s="20">
        <v>8</v>
      </c>
      <c r="H7" s="20">
        <v>1</v>
      </c>
      <c r="I7" s="20">
        <v>67</v>
      </c>
      <c r="J7" s="20">
        <v>117</v>
      </c>
      <c r="K7" s="34">
        <f>SUM(I7:J7)</f>
        <v>184</v>
      </c>
      <c r="L7" s="20">
        <v>49</v>
      </c>
      <c r="M7" s="36">
        <f>(I7+L7)</f>
        <v>116</v>
      </c>
      <c r="N7" s="344">
        <v>52</v>
      </c>
      <c r="O7" s="344">
        <v>124</v>
      </c>
      <c r="P7" s="183">
        <f t="shared" ref="P7:P22" si="8">M7/O7</f>
        <v>0.93548387096774188</v>
      </c>
      <c r="Q7" s="20">
        <v>40</v>
      </c>
      <c r="R7" s="20">
        <v>0</v>
      </c>
      <c r="S7" s="300">
        <v>719890</v>
      </c>
      <c r="T7" s="35">
        <f>SUM(U7:V7)</f>
        <v>997197</v>
      </c>
      <c r="U7" s="341">
        <v>950970</v>
      </c>
      <c r="V7" s="24">
        <v>46227</v>
      </c>
      <c r="W7" s="185">
        <f t="shared" ref="W7:W22" si="9">V7/T7</f>
        <v>4.6356938498611611E-2</v>
      </c>
    </row>
    <row r="8" spans="1:220" s="96" customFormat="1">
      <c r="A8" s="95">
        <v>2016</v>
      </c>
      <c r="B8" s="63">
        <v>8</v>
      </c>
      <c r="C8" s="63">
        <v>0.25</v>
      </c>
      <c r="D8" s="251">
        <f>B8+C8</f>
        <v>8.25</v>
      </c>
      <c r="E8" s="252">
        <f>ROUND((O8/B8), 0)</f>
        <v>11</v>
      </c>
      <c r="F8" s="252">
        <f>ROUND((O8/D8), 0)</f>
        <v>11</v>
      </c>
      <c r="G8" s="83">
        <v>8</v>
      </c>
      <c r="H8" s="83">
        <v>0.25</v>
      </c>
      <c r="I8" s="63">
        <v>47</v>
      </c>
      <c r="J8" s="63">
        <v>98</v>
      </c>
      <c r="K8" s="251">
        <f>I8+J8</f>
        <v>145</v>
      </c>
      <c r="L8" s="63">
        <v>40</v>
      </c>
      <c r="M8" s="252">
        <f>I8+L8</f>
        <v>87</v>
      </c>
      <c r="N8" s="63">
        <v>26</v>
      </c>
      <c r="O8" s="63">
        <v>87</v>
      </c>
      <c r="P8" s="183">
        <f t="shared" si="8"/>
        <v>1</v>
      </c>
      <c r="Q8" s="63">
        <v>38</v>
      </c>
      <c r="R8" s="63">
        <v>0</v>
      </c>
      <c r="S8" s="74">
        <v>718072</v>
      </c>
      <c r="T8" s="253">
        <f>SUM(U8:V8)</f>
        <v>987594</v>
      </c>
      <c r="U8" s="74">
        <v>912104</v>
      </c>
      <c r="V8" s="74">
        <v>75490</v>
      </c>
      <c r="W8" s="185">
        <f t="shared" si="9"/>
        <v>7.6438293468773608E-2</v>
      </c>
    </row>
    <row r="9" spans="1:220" s="136" customFormat="1">
      <c r="A9" s="90">
        <v>2015</v>
      </c>
      <c r="B9" s="91">
        <v>8</v>
      </c>
      <c r="C9" s="91">
        <v>0.5</v>
      </c>
      <c r="D9" s="81">
        <v>8.5</v>
      </c>
      <c r="E9" s="81">
        <v>10.5</v>
      </c>
      <c r="F9" s="81">
        <v>9.9</v>
      </c>
      <c r="G9" s="158"/>
      <c r="H9" s="158"/>
      <c r="I9" s="91">
        <v>38</v>
      </c>
      <c r="J9" s="91">
        <v>81</v>
      </c>
      <c r="K9" s="81">
        <v>119</v>
      </c>
      <c r="L9" s="91">
        <v>34</v>
      </c>
      <c r="M9" s="81">
        <v>72</v>
      </c>
      <c r="N9" s="91">
        <v>22</v>
      </c>
      <c r="O9" s="91">
        <v>84</v>
      </c>
      <c r="P9" s="183">
        <f t="shared" si="8"/>
        <v>0.8571428571428571</v>
      </c>
      <c r="Q9" s="91">
        <v>64</v>
      </c>
      <c r="R9" s="91">
        <v>0</v>
      </c>
      <c r="S9" s="102">
        <v>1414405</v>
      </c>
      <c r="T9" s="103">
        <v>1100585</v>
      </c>
      <c r="U9" s="102">
        <v>1006640</v>
      </c>
      <c r="V9" s="102">
        <v>93945</v>
      </c>
      <c r="W9" s="185">
        <f t="shared" si="9"/>
        <v>8.5359149906640563E-2</v>
      </c>
    </row>
    <row r="10" spans="1:220" s="136" customFormat="1">
      <c r="A10" s="90">
        <v>2014</v>
      </c>
      <c r="B10" s="91">
        <v>8</v>
      </c>
      <c r="C10" s="91">
        <v>0.5</v>
      </c>
      <c r="D10" s="81">
        <v>8.5</v>
      </c>
      <c r="E10" s="81">
        <v>10.3</v>
      </c>
      <c r="F10" s="81">
        <v>9.6</v>
      </c>
      <c r="G10" s="158"/>
      <c r="H10" s="158"/>
      <c r="I10" s="91">
        <v>45</v>
      </c>
      <c r="J10" s="91">
        <v>81</v>
      </c>
      <c r="K10" s="81">
        <v>126</v>
      </c>
      <c r="L10" s="91">
        <v>32</v>
      </c>
      <c r="M10" s="81">
        <v>77</v>
      </c>
      <c r="N10" s="91">
        <v>20</v>
      </c>
      <c r="O10" s="91">
        <v>82</v>
      </c>
      <c r="P10" s="183">
        <f t="shared" si="8"/>
        <v>0.93902439024390238</v>
      </c>
      <c r="Q10" s="91">
        <v>57</v>
      </c>
      <c r="R10" s="91">
        <v>0</v>
      </c>
      <c r="S10" s="102">
        <v>1629770</v>
      </c>
      <c r="T10" s="103">
        <v>1359684</v>
      </c>
      <c r="U10" s="102">
        <v>1308585</v>
      </c>
      <c r="V10" s="102">
        <v>51099</v>
      </c>
      <c r="W10" s="185">
        <f t="shared" si="9"/>
        <v>3.7581526295815793E-2</v>
      </c>
    </row>
    <row r="11" spans="1:220" s="71" customFormat="1">
      <c r="A11" s="257">
        <v>2013</v>
      </c>
      <c r="B11" s="254">
        <v>10</v>
      </c>
      <c r="C11" s="254">
        <v>0.5</v>
      </c>
      <c r="D11" s="251">
        <f>B11+C11</f>
        <v>10.5</v>
      </c>
      <c r="E11" s="252">
        <f t="shared" ref="E11:E22" si="10">ROUND((O11/B11), 0)</f>
        <v>10</v>
      </c>
      <c r="F11" s="252">
        <f t="shared" ref="F11:F22" si="11">ROUND((O11/D11), 0)</f>
        <v>9</v>
      </c>
      <c r="G11" s="255"/>
      <c r="H11" s="255"/>
      <c r="I11" s="254">
        <v>56</v>
      </c>
      <c r="J11" s="254">
        <v>83</v>
      </c>
      <c r="K11" s="251">
        <f>I11+J11</f>
        <v>139</v>
      </c>
      <c r="L11" s="254">
        <v>35</v>
      </c>
      <c r="M11" s="252">
        <f>I11+L11</f>
        <v>91</v>
      </c>
      <c r="N11" s="254">
        <v>14</v>
      </c>
      <c r="O11" s="254">
        <v>99</v>
      </c>
      <c r="P11" s="183">
        <f t="shared" si="8"/>
        <v>0.91919191919191923</v>
      </c>
      <c r="Q11" s="254">
        <v>60</v>
      </c>
      <c r="R11" s="254">
        <v>0</v>
      </c>
      <c r="S11" s="256">
        <v>1281263</v>
      </c>
      <c r="T11" s="253">
        <f t="shared" ref="T11:T22" si="12">SUM(U11:V11)</f>
        <v>993543</v>
      </c>
      <c r="U11" s="256">
        <v>884492</v>
      </c>
      <c r="V11" s="256">
        <v>109051</v>
      </c>
      <c r="W11" s="185">
        <f t="shared" si="9"/>
        <v>0.1097597185023698</v>
      </c>
    </row>
    <row r="12" spans="1:220" s="71" customFormat="1">
      <c r="A12" s="90">
        <v>2012</v>
      </c>
      <c r="B12" s="353">
        <v>10</v>
      </c>
      <c r="C12" s="353">
        <v>0.25</v>
      </c>
      <c r="D12" s="108">
        <f>B12+C12</f>
        <v>10.25</v>
      </c>
      <c r="E12" s="109">
        <f t="shared" si="10"/>
        <v>12</v>
      </c>
      <c r="F12" s="109">
        <f t="shared" si="11"/>
        <v>11</v>
      </c>
      <c r="G12" s="113"/>
      <c r="H12" s="113"/>
      <c r="I12" s="353">
        <v>66</v>
      </c>
      <c r="J12" s="353">
        <v>89</v>
      </c>
      <c r="K12" s="108">
        <f>I12+J12</f>
        <v>155</v>
      </c>
      <c r="L12" s="353">
        <v>35</v>
      </c>
      <c r="M12" s="109">
        <f>I12+L12</f>
        <v>101</v>
      </c>
      <c r="N12" s="353">
        <v>23</v>
      </c>
      <c r="O12" s="353">
        <v>115</v>
      </c>
      <c r="P12" s="183">
        <f t="shared" si="8"/>
        <v>0.87826086956521743</v>
      </c>
      <c r="Q12" s="353">
        <v>75</v>
      </c>
      <c r="R12" s="353">
        <v>0</v>
      </c>
      <c r="S12" s="112">
        <v>1291049.02</v>
      </c>
      <c r="T12" s="110">
        <f t="shared" si="12"/>
        <v>1381966.5699999998</v>
      </c>
      <c r="U12" s="112">
        <v>1046734</v>
      </c>
      <c r="V12" s="112">
        <v>335232.56999999995</v>
      </c>
      <c r="W12" s="185">
        <f t="shared" si="9"/>
        <v>0.24257646840183694</v>
      </c>
    </row>
    <row r="13" spans="1:220" s="71" customFormat="1">
      <c r="A13" s="90">
        <v>2011</v>
      </c>
      <c r="B13" s="353">
        <v>10</v>
      </c>
      <c r="C13" s="353">
        <v>0</v>
      </c>
      <c r="D13" s="108">
        <f t="shared" ref="D13:D22" si="13">SUM(B13:C13)</f>
        <v>10</v>
      </c>
      <c r="E13" s="109">
        <f t="shared" si="10"/>
        <v>12</v>
      </c>
      <c r="F13" s="109">
        <f t="shared" si="11"/>
        <v>12</v>
      </c>
      <c r="G13" s="113"/>
      <c r="H13" s="113"/>
      <c r="I13" s="353">
        <v>68</v>
      </c>
      <c r="J13" s="353">
        <v>99</v>
      </c>
      <c r="K13" s="108">
        <f t="shared" ref="K13:K22" si="14">SUM(I13:J13)</f>
        <v>167</v>
      </c>
      <c r="L13" s="353">
        <v>40</v>
      </c>
      <c r="M13" s="109">
        <f t="shared" ref="M13:M22" si="15">(I13+L13)</f>
        <v>108</v>
      </c>
      <c r="N13" s="353">
        <v>28</v>
      </c>
      <c r="O13" s="353">
        <v>123</v>
      </c>
      <c r="P13" s="183">
        <f t="shared" si="8"/>
        <v>0.87804878048780488</v>
      </c>
      <c r="Q13" s="353">
        <v>66</v>
      </c>
      <c r="R13" s="353">
        <v>1</v>
      </c>
      <c r="S13" s="112">
        <v>1487862</v>
      </c>
      <c r="T13" s="110">
        <f t="shared" si="12"/>
        <v>1487874.77</v>
      </c>
      <c r="U13" s="112">
        <v>1105010.71</v>
      </c>
      <c r="V13" s="112">
        <v>382864.06</v>
      </c>
      <c r="W13" s="185">
        <f t="shared" si="9"/>
        <v>0.25732277186204322</v>
      </c>
    </row>
    <row r="14" spans="1:220" s="71" customFormat="1">
      <c r="A14" s="90">
        <v>2010</v>
      </c>
      <c r="B14" s="353">
        <v>10</v>
      </c>
      <c r="C14" s="353">
        <v>0.5</v>
      </c>
      <c r="D14" s="108">
        <f t="shared" si="13"/>
        <v>10.5</v>
      </c>
      <c r="E14" s="109">
        <f t="shared" si="10"/>
        <v>14</v>
      </c>
      <c r="F14" s="109">
        <f t="shared" si="11"/>
        <v>13</v>
      </c>
      <c r="G14" s="113"/>
      <c r="H14" s="113"/>
      <c r="I14" s="353">
        <v>76</v>
      </c>
      <c r="J14" s="353">
        <v>112</v>
      </c>
      <c r="K14" s="108">
        <f t="shared" si="14"/>
        <v>188</v>
      </c>
      <c r="L14" s="353">
        <v>44.8</v>
      </c>
      <c r="M14" s="109">
        <f t="shared" si="15"/>
        <v>120.8</v>
      </c>
      <c r="N14" s="353">
        <v>25</v>
      </c>
      <c r="O14" s="353">
        <v>137.60000000000002</v>
      </c>
      <c r="P14" s="183">
        <f t="shared" si="8"/>
        <v>0.87790697674418583</v>
      </c>
      <c r="Q14" s="353">
        <v>58</v>
      </c>
      <c r="R14" s="353">
        <v>0</v>
      </c>
      <c r="S14" s="112">
        <v>1309748.08</v>
      </c>
      <c r="T14" s="110">
        <f t="shared" si="12"/>
        <v>1027992</v>
      </c>
      <c r="U14" s="112">
        <v>912842</v>
      </c>
      <c r="V14" s="112">
        <v>115150</v>
      </c>
      <c r="W14" s="185">
        <f t="shared" si="9"/>
        <v>0.11201449038513918</v>
      </c>
    </row>
    <row r="15" spans="1:220" s="71" customFormat="1">
      <c r="A15" s="90">
        <v>2009</v>
      </c>
      <c r="B15" s="353">
        <v>11</v>
      </c>
      <c r="C15" s="353">
        <v>0</v>
      </c>
      <c r="D15" s="108">
        <f t="shared" si="13"/>
        <v>11</v>
      </c>
      <c r="E15" s="109">
        <f t="shared" si="10"/>
        <v>10</v>
      </c>
      <c r="F15" s="109">
        <f t="shared" si="11"/>
        <v>10</v>
      </c>
      <c r="G15" s="113"/>
      <c r="H15" s="113"/>
      <c r="I15" s="353">
        <v>58</v>
      </c>
      <c r="J15" s="353">
        <v>101</v>
      </c>
      <c r="K15" s="108">
        <f t="shared" si="14"/>
        <v>159</v>
      </c>
      <c r="L15" s="353">
        <v>39.299999999999997</v>
      </c>
      <c r="M15" s="109">
        <f t="shared" si="15"/>
        <v>97.3</v>
      </c>
      <c r="N15" s="353">
        <v>19</v>
      </c>
      <c r="O15" s="353">
        <v>114.1</v>
      </c>
      <c r="P15" s="183">
        <f t="shared" si="8"/>
        <v>0.85276073619631909</v>
      </c>
      <c r="Q15" s="353">
        <v>50</v>
      </c>
      <c r="R15" s="353">
        <v>2</v>
      </c>
      <c r="S15" s="112">
        <v>1386272.77</v>
      </c>
      <c r="T15" s="110">
        <f t="shared" si="12"/>
        <v>1386272.77</v>
      </c>
      <c r="U15" s="112">
        <v>1317192.1399999999</v>
      </c>
      <c r="V15" s="112">
        <v>69080.63</v>
      </c>
      <c r="W15" s="185">
        <f t="shared" si="9"/>
        <v>4.9831917278444417E-2</v>
      </c>
    </row>
    <row r="16" spans="1:220" s="71" customFormat="1">
      <c r="A16" s="90">
        <v>2008</v>
      </c>
      <c r="B16" s="353">
        <v>11</v>
      </c>
      <c r="C16" s="353">
        <v>0</v>
      </c>
      <c r="D16" s="108">
        <f t="shared" si="13"/>
        <v>11</v>
      </c>
      <c r="E16" s="109">
        <f t="shared" si="10"/>
        <v>11</v>
      </c>
      <c r="F16" s="109">
        <f t="shared" si="11"/>
        <v>11</v>
      </c>
      <c r="G16" s="113"/>
      <c r="H16" s="113"/>
      <c r="I16" s="353">
        <v>66</v>
      </c>
      <c r="J16" s="353">
        <v>109</v>
      </c>
      <c r="K16" s="108">
        <f t="shared" si="14"/>
        <v>175</v>
      </c>
      <c r="L16" s="353">
        <v>54.2</v>
      </c>
      <c r="M16" s="109">
        <f t="shared" si="15"/>
        <v>120.2</v>
      </c>
      <c r="N16" s="353">
        <v>22</v>
      </c>
      <c r="O16" s="353">
        <v>120</v>
      </c>
      <c r="P16" s="183">
        <f t="shared" si="8"/>
        <v>1.0016666666666667</v>
      </c>
      <c r="Q16" s="353">
        <v>61</v>
      </c>
      <c r="R16" s="353">
        <v>0</v>
      </c>
      <c r="S16" s="112">
        <v>1390585</v>
      </c>
      <c r="T16" s="110">
        <f t="shared" si="12"/>
        <v>1390585</v>
      </c>
      <c r="U16" s="112">
        <v>1300107</v>
      </c>
      <c r="V16" s="112">
        <v>90478</v>
      </c>
      <c r="W16" s="185">
        <f t="shared" si="9"/>
        <v>6.5064702984715062E-2</v>
      </c>
    </row>
    <row r="17" spans="1:23" s="71" customFormat="1">
      <c r="A17" s="90">
        <v>2007</v>
      </c>
      <c r="B17" s="353">
        <v>11</v>
      </c>
      <c r="C17" s="353">
        <v>0.33</v>
      </c>
      <c r="D17" s="109">
        <f t="shared" si="13"/>
        <v>11.33</v>
      </c>
      <c r="E17" s="109">
        <f t="shared" si="10"/>
        <v>10</v>
      </c>
      <c r="F17" s="109">
        <f t="shared" si="11"/>
        <v>10</v>
      </c>
      <c r="G17" s="113"/>
      <c r="H17" s="113"/>
      <c r="I17" s="353">
        <v>64</v>
      </c>
      <c r="J17" s="353">
        <v>91</v>
      </c>
      <c r="K17" s="194">
        <f t="shared" si="14"/>
        <v>155</v>
      </c>
      <c r="L17" s="353">
        <v>47.7</v>
      </c>
      <c r="M17" s="109">
        <f t="shared" si="15"/>
        <v>111.7</v>
      </c>
      <c r="N17" s="353">
        <v>23</v>
      </c>
      <c r="O17" s="353">
        <v>114</v>
      </c>
      <c r="P17" s="183">
        <f t="shared" si="8"/>
        <v>0.97982456140350882</v>
      </c>
      <c r="Q17" s="353">
        <v>57</v>
      </c>
      <c r="R17" s="353">
        <v>1</v>
      </c>
      <c r="S17" s="192">
        <v>1265859</v>
      </c>
      <c r="T17" s="110">
        <f t="shared" si="12"/>
        <v>1265859</v>
      </c>
      <c r="U17" s="250">
        <v>1162461</v>
      </c>
      <c r="V17" s="192">
        <v>103398</v>
      </c>
      <c r="W17" s="185">
        <f t="shared" si="9"/>
        <v>8.1682083075603207E-2</v>
      </c>
    </row>
    <row r="18" spans="1:23" s="71" customFormat="1">
      <c r="A18" s="90">
        <v>2006</v>
      </c>
      <c r="B18" s="353">
        <v>11</v>
      </c>
      <c r="C18" s="353">
        <v>0.5</v>
      </c>
      <c r="D18" s="109">
        <f t="shared" si="13"/>
        <v>11.5</v>
      </c>
      <c r="E18" s="109">
        <f t="shared" si="10"/>
        <v>10</v>
      </c>
      <c r="F18" s="109">
        <f t="shared" si="11"/>
        <v>10</v>
      </c>
      <c r="G18" s="113"/>
      <c r="H18" s="113"/>
      <c r="I18" s="353">
        <v>63</v>
      </c>
      <c r="J18" s="353">
        <v>99</v>
      </c>
      <c r="K18" s="194">
        <f t="shared" si="14"/>
        <v>162</v>
      </c>
      <c r="L18" s="353">
        <v>50</v>
      </c>
      <c r="M18" s="109">
        <f t="shared" si="15"/>
        <v>113</v>
      </c>
      <c r="N18" s="353">
        <v>19</v>
      </c>
      <c r="O18" s="353">
        <v>114</v>
      </c>
      <c r="P18" s="183">
        <f t="shared" si="8"/>
        <v>0.99122807017543857</v>
      </c>
      <c r="Q18" s="353">
        <v>59</v>
      </c>
      <c r="R18" s="353">
        <v>0</v>
      </c>
      <c r="S18" s="192">
        <v>1171972</v>
      </c>
      <c r="T18" s="110">
        <f t="shared" si="12"/>
        <v>1171972</v>
      </c>
      <c r="U18" s="192">
        <v>1125929</v>
      </c>
      <c r="V18" s="192">
        <v>46043</v>
      </c>
      <c r="W18" s="185">
        <f t="shared" si="9"/>
        <v>3.9286774769363091E-2</v>
      </c>
    </row>
    <row r="19" spans="1:23" s="71" customFormat="1">
      <c r="A19" s="90">
        <v>2005</v>
      </c>
      <c r="B19" s="353">
        <v>11</v>
      </c>
      <c r="C19" s="353">
        <v>1</v>
      </c>
      <c r="D19" s="109">
        <f t="shared" si="13"/>
        <v>12</v>
      </c>
      <c r="E19" s="109">
        <f t="shared" si="10"/>
        <v>10</v>
      </c>
      <c r="F19" s="109">
        <f t="shared" si="11"/>
        <v>9</v>
      </c>
      <c r="G19" s="113"/>
      <c r="H19" s="113"/>
      <c r="I19" s="353">
        <v>68</v>
      </c>
      <c r="J19" s="353">
        <v>90</v>
      </c>
      <c r="K19" s="194">
        <f t="shared" si="14"/>
        <v>158</v>
      </c>
      <c r="L19" s="353">
        <v>44</v>
      </c>
      <c r="M19" s="109">
        <f t="shared" si="15"/>
        <v>112</v>
      </c>
      <c r="N19" s="353">
        <v>20</v>
      </c>
      <c r="O19" s="353">
        <v>113</v>
      </c>
      <c r="P19" s="183">
        <f t="shared" si="8"/>
        <v>0.99115044247787609</v>
      </c>
      <c r="Q19" s="353">
        <v>75</v>
      </c>
      <c r="R19" s="353">
        <v>3</v>
      </c>
      <c r="S19" s="192">
        <v>1163295</v>
      </c>
      <c r="T19" s="110">
        <f t="shared" si="12"/>
        <v>1163295</v>
      </c>
      <c r="U19" s="192">
        <v>1109322</v>
      </c>
      <c r="V19" s="192">
        <v>53973</v>
      </c>
      <c r="W19" s="185">
        <f t="shared" si="9"/>
        <v>4.6396657769525354E-2</v>
      </c>
    </row>
    <row r="20" spans="1:23" s="71" customFormat="1">
      <c r="A20" s="90">
        <v>2004</v>
      </c>
      <c r="B20" s="195">
        <v>11</v>
      </c>
      <c r="C20" s="195">
        <v>0.5</v>
      </c>
      <c r="D20" s="109">
        <f t="shared" si="13"/>
        <v>11.5</v>
      </c>
      <c r="E20" s="109">
        <f t="shared" si="10"/>
        <v>11</v>
      </c>
      <c r="F20" s="109">
        <f t="shared" si="11"/>
        <v>11</v>
      </c>
      <c r="G20" s="113"/>
      <c r="H20" s="113"/>
      <c r="I20" s="195">
        <v>67</v>
      </c>
      <c r="J20" s="195">
        <v>105</v>
      </c>
      <c r="K20" s="194">
        <f t="shared" si="14"/>
        <v>172</v>
      </c>
      <c r="L20" s="193">
        <v>51.2</v>
      </c>
      <c r="M20" s="109">
        <f t="shared" si="15"/>
        <v>118.2</v>
      </c>
      <c r="N20" s="195">
        <v>20</v>
      </c>
      <c r="O20" s="195">
        <v>122.2</v>
      </c>
      <c r="P20" s="183">
        <f t="shared" si="8"/>
        <v>0.96726677577741405</v>
      </c>
      <c r="Q20" s="195">
        <v>76</v>
      </c>
      <c r="R20" s="353">
        <v>0</v>
      </c>
      <c r="S20" s="192">
        <v>1103432</v>
      </c>
      <c r="T20" s="110">
        <f t="shared" si="12"/>
        <v>1103705</v>
      </c>
      <c r="U20" s="192">
        <v>1058736</v>
      </c>
      <c r="V20" s="192">
        <v>44969</v>
      </c>
      <c r="W20" s="185">
        <f t="shared" si="9"/>
        <v>4.0743676978902875E-2</v>
      </c>
    </row>
    <row r="21" spans="1:23" s="71" customFormat="1" ht="15" customHeight="1">
      <c r="A21" s="90">
        <v>2003</v>
      </c>
      <c r="B21" s="195">
        <v>10</v>
      </c>
      <c r="C21" s="195">
        <v>1</v>
      </c>
      <c r="D21" s="194">
        <f t="shared" si="13"/>
        <v>11</v>
      </c>
      <c r="E21" s="109">
        <f t="shared" si="10"/>
        <v>15</v>
      </c>
      <c r="F21" s="109">
        <f t="shared" si="11"/>
        <v>13</v>
      </c>
      <c r="G21" s="113"/>
      <c r="H21" s="113"/>
      <c r="I21" s="195">
        <v>76</v>
      </c>
      <c r="J21" s="195">
        <v>112</v>
      </c>
      <c r="K21" s="194">
        <f t="shared" si="14"/>
        <v>188</v>
      </c>
      <c r="L21" s="195">
        <v>54</v>
      </c>
      <c r="M21" s="109">
        <f t="shared" si="15"/>
        <v>130</v>
      </c>
      <c r="N21" s="195">
        <v>29</v>
      </c>
      <c r="O21" s="195">
        <v>148</v>
      </c>
      <c r="P21" s="183">
        <f t="shared" si="8"/>
        <v>0.8783783783783784</v>
      </c>
      <c r="Q21" s="195">
        <v>51</v>
      </c>
      <c r="R21" s="353">
        <v>1</v>
      </c>
      <c r="S21" s="192">
        <v>1175019</v>
      </c>
      <c r="T21" s="110">
        <f t="shared" si="12"/>
        <v>1175019</v>
      </c>
      <c r="U21" s="192">
        <v>1034454</v>
      </c>
      <c r="V21" s="192">
        <v>140565</v>
      </c>
      <c r="W21" s="185">
        <f t="shared" si="9"/>
        <v>0.11962785282620962</v>
      </c>
    </row>
    <row r="22" spans="1:23" s="71" customFormat="1" ht="14.45" customHeight="1">
      <c r="A22" s="90">
        <v>2002</v>
      </c>
      <c r="B22" s="195">
        <v>10</v>
      </c>
      <c r="C22" s="195">
        <f>ROUND(0.25, 0)</f>
        <v>0</v>
      </c>
      <c r="D22" s="194">
        <f t="shared" si="13"/>
        <v>10</v>
      </c>
      <c r="E22" s="109">
        <f t="shared" si="10"/>
        <v>11</v>
      </c>
      <c r="F22" s="109">
        <f t="shared" si="11"/>
        <v>11</v>
      </c>
      <c r="G22" s="113"/>
      <c r="H22" s="113"/>
      <c r="I22" s="195">
        <v>53</v>
      </c>
      <c r="J22" s="195">
        <v>115</v>
      </c>
      <c r="K22" s="194">
        <f t="shared" si="14"/>
        <v>168</v>
      </c>
      <c r="L22" s="195">
        <f>ROUND(53.6, 0)</f>
        <v>54</v>
      </c>
      <c r="M22" s="109">
        <f t="shared" si="15"/>
        <v>107</v>
      </c>
      <c r="N22" s="195">
        <v>26</v>
      </c>
      <c r="O22" s="195">
        <f>ROUND(107.9, 0)</f>
        <v>108</v>
      </c>
      <c r="P22" s="183">
        <f t="shared" si="8"/>
        <v>0.9907407407407407</v>
      </c>
      <c r="Q22" s="195">
        <v>62</v>
      </c>
      <c r="R22" s="353">
        <v>2</v>
      </c>
      <c r="S22" s="192">
        <v>1033827</v>
      </c>
      <c r="T22" s="110">
        <f t="shared" si="12"/>
        <v>1033827</v>
      </c>
      <c r="U22" s="192">
        <v>1005176</v>
      </c>
      <c r="V22" s="192">
        <v>28651</v>
      </c>
      <c r="W22" s="185">
        <f t="shared" si="9"/>
        <v>2.7713534276044251E-2</v>
      </c>
    </row>
    <row r="23" spans="1:23" s="71" customFormat="1">
      <c r="A23" s="653" t="s">
        <v>94</v>
      </c>
      <c r="B23" s="673"/>
      <c r="C23" s="673"/>
      <c r="D23" s="673"/>
      <c r="E23" s="673"/>
      <c r="F23" s="654"/>
      <c r="G23" s="654"/>
      <c r="H23" s="654"/>
      <c r="I23" s="654"/>
      <c r="J23" s="654"/>
      <c r="K23" s="654"/>
      <c r="L23" s="654"/>
      <c r="M23" s="654"/>
      <c r="N23" s="654"/>
      <c r="O23" s="654"/>
      <c r="P23" s="654"/>
      <c r="Q23" s="654"/>
      <c r="R23" s="654"/>
      <c r="S23" s="654"/>
      <c r="T23" s="654"/>
      <c r="U23" s="654"/>
      <c r="V23" s="654"/>
      <c r="W23" s="654"/>
    </row>
    <row r="24" spans="1:23" s="71" customFormat="1">
      <c r="A24" s="654" t="s">
        <v>113</v>
      </c>
      <c r="B24" s="656"/>
      <c r="C24" s="656"/>
      <c r="D24" s="656"/>
      <c r="E24" s="656"/>
      <c r="F24" s="656"/>
      <c r="G24" s="656"/>
      <c r="H24" s="656"/>
      <c r="I24" s="656"/>
      <c r="J24" s="656"/>
      <c r="K24" s="656"/>
      <c r="L24" s="656"/>
      <c r="M24" s="656"/>
      <c r="N24" s="656"/>
      <c r="O24" s="656"/>
      <c r="P24" s="656"/>
      <c r="Q24" s="656"/>
      <c r="R24" s="656"/>
      <c r="S24" s="656"/>
      <c r="T24" s="656"/>
      <c r="U24" s="656"/>
      <c r="V24" s="656"/>
      <c r="W24" s="656"/>
    </row>
    <row r="25" spans="1:23" s="71" customFormat="1">
      <c r="A25" s="654" t="s">
        <v>114</v>
      </c>
      <c r="B25" s="656"/>
      <c r="C25" s="656"/>
      <c r="D25" s="656"/>
      <c r="E25" s="656"/>
      <c r="F25" s="656"/>
      <c r="G25" s="656"/>
      <c r="H25" s="656"/>
      <c r="I25" s="656"/>
      <c r="J25" s="656"/>
      <c r="K25" s="656"/>
      <c r="L25" s="656"/>
      <c r="M25" s="656"/>
      <c r="N25" s="656"/>
      <c r="O25" s="656"/>
      <c r="P25" s="656"/>
      <c r="Q25" s="656"/>
      <c r="R25" s="656"/>
      <c r="S25" s="656"/>
      <c r="T25" s="656"/>
      <c r="U25" s="656"/>
      <c r="V25" s="656"/>
      <c r="W25" s="656"/>
    </row>
    <row r="26" spans="1:23" s="13" customFormat="1">
      <c r="A26" s="655" t="s">
        <v>141</v>
      </c>
      <c r="B26" s="656"/>
      <c r="C26" s="656"/>
      <c r="D26" s="656"/>
      <c r="E26" s="656"/>
      <c r="F26" s="656"/>
      <c r="G26" s="656"/>
      <c r="H26" s="656"/>
      <c r="I26" s="656"/>
      <c r="J26" s="656"/>
      <c r="K26" s="656"/>
      <c r="L26" s="656"/>
      <c r="M26" s="656"/>
      <c r="N26" s="656"/>
      <c r="O26" s="656"/>
      <c r="P26" s="656"/>
      <c r="Q26" s="656"/>
      <c r="R26" s="656"/>
      <c r="S26" s="656"/>
      <c r="T26" s="656"/>
      <c r="U26" s="656"/>
      <c r="V26" s="656"/>
      <c r="W26" s="656"/>
    </row>
    <row r="27" spans="1:23" s="13" customFormat="1">
      <c r="A27" s="655" t="s">
        <v>142</v>
      </c>
      <c r="B27" s="656"/>
      <c r="C27" s="656"/>
      <c r="D27" s="656"/>
      <c r="E27" s="656"/>
      <c r="F27" s="656"/>
      <c r="G27" s="656"/>
      <c r="H27" s="656"/>
      <c r="I27" s="656"/>
      <c r="J27" s="656"/>
      <c r="K27" s="656"/>
      <c r="L27" s="656"/>
      <c r="M27" s="656"/>
      <c r="N27" s="656"/>
      <c r="O27" s="656"/>
      <c r="P27" s="656"/>
      <c r="Q27" s="656"/>
      <c r="R27" s="656"/>
      <c r="S27" s="656"/>
      <c r="T27" s="656"/>
      <c r="U27" s="656"/>
      <c r="V27" s="656"/>
      <c r="W27" s="656"/>
    </row>
    <row r="28" spans="1:23" s="14" customFormat="1">
      <c r="A28" s="686" t="s">
        <v>169</v>
      </c>
      <c r="B28" s="658"/>
      <c r="C28" s="658"/>
      <c r="D28" s="658"/>
      <c r="E28" s="658"/>
      <c r="F28" s="658"/>
      <c r="G28" s="658"/>
      <c r="H28" s="658"/>
      <c r="I28" s="658"/>
      <c r="J28" s="658"/>
      <c r="K28" s="658"/>
      <c r="L28" s="658"/>
      <c r="M28" s="658"/>
      <c r="N28" s="658"/>
      <c r="O28" s="658"/>
      <c r="P28" s="658"/>
      <c r="Q28" s="658"/>
      <c r="R28" s="658"/>
      <c r="S28" s="658"/>
      <c r="T28" s="658"/>
      <c r="U28" s="658"/>
      <c r="V28" s="658"/>
      <c r="W28" s="658"/>
    </row>
    <row r="29" spans="1:23" s="14" customFormat="1">
      <c r="A29" s="686" t="s">
        <v>170</v>
      </c>
      <c r="B29" s="658"/>
      <c r="C29" s="658"/>
      <c r="D29" s="658"/>
      <c r="E29" s="658"/>
      <c r="F29" s="658"/>
      <c r="G29" s="658"/>
      <c r="H29" s="658"/>
      <c r="I29" s="658"/>
      <c r="J29" s="658"/>
      <c r="K29" s="658"/>
      <c r="L29" s="658"/>
      <c r="M29" s="658"/>
      <c r="N29" s="658"/>
      <c r="O29" s="658"/>
      <c r="P29" s="658"/>
      <c r="Q29" s="658"/>
      <c r="R29" s="658"/>
      <c r="S29" s="658"/>
      <c r="T29" s="658"/>
      <c r="U29" s="658"/>
      <c r="V29" s="658"/>
      <c r="W29" s="658"/>
    </row>
    <row r="30" spans="1:23" s="14" customFormat="1">
      <c r="A30" s="14" t="s">
        <v>193</v>
      </c>
    </row>
    <row r="31" spans="1:23" s="14" customFormat="1">
      <c r="A31" s="14" t="s">
        <v>194</v>
      </c>
    </row>
    <row r="32" spans="1:23" s="14" customFormat="1">
      <c r="A32" s="526" t="s">
        <v>206</v>
      </c>
      <c r="B32" s="14" t="s">
        <v>202</v>
      </c>
    </row>
    <row r="33" spans="1:2" s="14" customFormat="1">
      <c r="A33" s="14" t="s">
        <v>203</v>
      </c>
    </row>
    <row r="34" spans="1:2">
      <c r="A34" s="14" t="s">
        <v>204</v>
      </c>
      <c r="B34" t="s">
        <v>205</v>
      </c>
    </row>
  </sheetData>
  <mergeCells count="7">
    <mergeCell ref="A28:W28"/>
    <mergeCell ref="A29:W29"/>
    <mergeCell ref="A27:W27"/>
    <mergeCell ref="A23:W23"/>
    <mergeCell ref="A24:W24"/>
    <mergeCell ref="A25:W25"/>
    <mergeCell ref="A26:W26"/>
  </mergeCells>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X35"/>
  <sheetViews>
    <sheetView workbookViewId="0">
      <selection activeCell="I32" sqref="I32"/>
    </sheetView>
  </sheetViews>
  <sheetFormatPr defaultColWidth="8.85546875" defaultRowHeight="15"/>
  <cols>
    <col min="1" max="1" width="9.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2" bestFit="1" customWidth="1"/>
    <col min="20" max="20" width="13" bestFit="1" customWidth="1"/>
    <col min="21" max="21" width="11.140625" bestFit="1" customWidth="1"/>
    <col min="22" max="22" width="11" bestFit="1" customWidth="1"/>
    <col min="23" max="23" width="12.85546875" bestFit="1" customWidth="1"/>
    <col min="24" max="336" width="8.85546875" style="5"/>
  </cols>
  <sheetData>
    <row r="1" spans="1:336" s="8" customFormat="1" ht="18.75">
      <c r="A1" s="1" t="s">
        <v>9</v>
      </c>
      <c r="B1" s="2"/>
      <c r="C1" s="1"/>
      <c r="D1" s="1"/>
      <c r="E1" s="1"/>
      <c r="F1" s="1"/>
      <c r="G1" s="1"/>
      <c r="H1" s="1"/>
      <c r="I1" s="1"/>
      <c r="J1" s="1"/>
      <c r="K1" s="1"/>
      <c r="L1" s="1"/>
      <c r="M1" s="1"/>
      <c r="N1" s="1"/>
      <c r="O1" s="1"/>
      <c r="P1" s="1"/>
      <c r="Q1" s="1"/>
      <c r="R1" s="1"/>
      <c r="S1" s="1"/>
      <c r="T1" s="1"/>
      <c r="U1" s="1"/>
      <c r="V1" s="1"/>
      <c r="W1" s="1"/>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c r="IR1" s="123"/>
      <c r="IS1" s="123"/>
      <c r="IT1" s="123"/>
      <c r="IU1" s="123"/>
      <c r="IV1" s="123"/>
      <c r="IW1" s="123"/>
      <c r="IX1" s="123"/>
      <c r="IY1" s="123"/>
      <c r="IZ1" s="123"/>
      <c r="JA1" s="123"/>
      <c r="JB1" s="123"/>
      <c r="JC1" s="123"/>
      <c r="JD1" s="123"/>
      <c r="JE1" s="123"/>
      <c r="JF1" s="123"/>
      <c r="JG1" s="123"/>
      <c r="JH1" s="123"/>
      <c r="JI1" s="123"/>
      <c r="JJ1" s="123"/>
      <c r="JK1" s="123"/>
      <c r="JL1" s="123"/>
      <c r="JM1" s="123"/>
      <c r="JN1" s="123"/>
      <c r="JO1" s="123"/>
      <c r="JP1" s="123"/>
      <c r="JQ1" s="123"/>
      <c r="JR1" s="123"/>
      <c r="JS1" s="123"/>
      <c r="JT1" s="123"/>
      <c r="JU1" s="123"/>
      <c r="JV1" s="123"/>
      <c r="JW1" s="123"/>
      <c r="JX1" s="123"/>
      <c r="JY1" s="123"/>
      <c r="JZ1" s="123"/>
      <c r="KA1" s="123"/>
      <c r="KB1" s="123"/>
      <c r="KC1" s="123"/>
      <c r="KD1" s="123"/>
      <c r="KE1" s="123"/>
      <c r="KF1" s="123"/>
      <c r="KG1" s="123"/>
      <c r="KH1" s="123"/>
      <c r="KI1" s="123"/>
      <c r="KJ1" s="123"/>
      <c r="KK1" s="123"/>
      <c r="KL1" s="123"/>
      <c r="KM1" s="123"/>
      <c r="KN1" s="123"/>
      <c r="KO1" s="123"/>
      <c r="KP1" s="123"/>
      <c r="KQ1" s="123"/>
      <c r="KR1" s="123"/>
      <c r="KS1" s="123"/>
      <c r="KT1" s="123"/>
      <c r="KU1" s="123"/>
      <c r="KV1" s="123"/>
      <c r="KW1" s="123"/>
      <c r="KX1" s="123"/>
      <c r="KY1" s="123"/>
      <c r="KZ1" s="123"/>
      <c r="LA1" s="123"/>
      <c r="LB1" s="123"/>
      <c r="LC1" s="123"/>
      <c r="LD1" s="123"/>
      <c r="LE1" s="123"/>
      <c r="LF1" s="123"/>
      <c r="LG1" s="123"/>
      <c r="LH1" s="123"/>
      <c r="LI1" s="123"/>
      <c r="LJ1" s="123"/>
      <c r="LK1" s="123"/>
      <c r="LL1" s="123"/>
      <c r="LM1" s="123"/>
      <c r="LN1" s="123"/>
      <c r="LO1" s="123"/>
      <c r="LP1" s="123"/>
      <c r="LQ1" s="123"/>
      <c r="LR1" s="123"/>
      <c r="LS1" s="123"/>
      <c r="LT1" s="123"/>
      <c r="LU1" s="123"/>
      <c r="LV1" s="123"/>
      <c r="LW1" s="123"/>
      <c r="LX1" s="123"/>
    </row>
    <row r="2" spans="1:336"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122" t="s">
        <v>41</v>
      </c>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row>
    <row r="3" spans="1:336" s="432" customFormat="1">
      <c r="A3" s="417">
        <v>2021</v>
      </c>
      <c r="B3" s="428">
        <v>66</v>
      </c>
      <c r="C3" s="428">
        <f>1.24+10.8</f>
        <v>12.040000000000001</v>
      </c>
      <c r="D3" s="429">
        <f>B3+C3</f>
        <v>78.040000000000006</v>
      </c>
      <c r="E3" s="411">
        <f t="shared" ref="E3" si="0">ROUND((O3/B3), 0)</f>
        <v>27</v>
      </c>
      <c r="F3" s="411">
        <f t="shared" ref="F3" si="1">ROUND((O3/D3), 0)</f>
        <v>22</v>
      </c>
      <c r="G3" s="428">
        <f t="shared" ref="G3:H3" si="2">B3</f>
        <v>66</v>
      </c>
      <c r="H3" s="428">
        <f t="shared" si="2"/>
        <v>12.040000000000001</v>
      </c>
      <c r="I3" s="428">
        <v>148</v>
      </c>
      <c r="J3" s="428">
        <v>161</v>
      </c>
      <c r="K3" s="410">
        <f t="shared" ref="K3" si="3">SUM(I3:J3)</f>
        <v>309</v>
      </c>
      <c r="L3" s="428">
        <v>90</v>
      </c>
      <c r="M3" s="411">
        <f t="shared" ref="M3" si="4">(I3+L3)</f>
        <v>238</v>
      </c>
      <c r="N3" s="428">
        <v>76</v>
      </c>
      <c r="O3" s="428">
        <v>1754</v>
      </c>
      <c r="P3" s="413">
        <f t="shared" ref="P3" si="5">M3/O3</f>
        <v>0.13568985176738882</v>
      </c>
      <c r="Q3" s="428">
        <v>102</v>
      </c>
      <c r="R3" s="428">
        <v>494</v>
      </c>
      <c r="S3" s="555">
        <v>21824510</v>
      </c>
      <c r="T3" s="415">
        <f t="shared" ref="T3" si="6">SUM(U3:V3)</f>
        <v>22601429</v>
      </c>
      <c r="U3" s="555">
        <f>13077338+1269029</f>
        <v>14346367</v>
      </c>
      <c r="V3" s="555">
        <v>8255062</v>
      </c>
      <c r="W3" s="335">
        <f t="shared" ref="W3" si="7">V3/T3</f>
        <v>0.36524513560624861</v>
      </c>
    </row>
    <row r="4" spans="1:336" s="432" customFormat="1">
      <c r="A4" s="417">
        <v>2020</v>
      </c>
      <c r="B4" s="428">
        <v>59</v>
      </c>
      <c r="C4" s="428">
        <v>12.2</v>
      </c>
      <c r="D4" s="429">
        <v>71.2</v>
      </c>
      <c r="E4" s="411">
        <f>ROUND((O4/B4), 0)</f>
        <v>25</v>
      </c>
      <c r="F4" s="411">
        <f>ROUND((O4/D4), 0)</f>
        <v>21</v>
      </c>
      <c r="G4" s="428">
        <v>59</v>
      </c>
      <c r="H4" s="428">
        <v>12.2</v>
      </c>
      <c r="I4" s="428">
        <v>120</v>
      </c>
      <c r="J4" s="428">
        <v>158</v>
      </c>
      <c r="K4" s="410">
        <f t="shared" ref="K4" si="8">SUM(I4:J4)</f>
        <v>278</v>
      </c>
      <c r="L4" s="428">
        <v>53</v>
      </c>
      <c r="M4" s="411">
        <f>(I4+L4)</f>
        <v>173</v>
      </c>
      <c r="N4" s="428">
        <v>65</v>
      </c>
      <c r="O4" s="428">
        <v>1495</v>
      </c>
      <c r="P4" s="413">
        <f t="shared" ref="P4" si="9">M4/O4</f>
        <v>0.11571906354515051</v>
      </c>
      <c r="Q4" s="428">
        <v>90</v>
      </c>
      <c r="R4" s="428">
        <v>461</v>
      </c>
      <c r="S4" s="555">
        <v>24980778</v>
      </c>
      <c r="T4" s="415">
        <f>SUM(U4:V4)</f>
        <v>26696879</v>
      </c>
      <c r="U4" s="555">
        <v>17423768</v>
      </c>
      <c r="V4" s="555">
        <v>9273111</v>
      </c>
      <c r="W4" s="335">
        <f t="shared" ref="W4" si="10">V4/T4</f>
        <v>0.34734813009415821</v>
      </c>
    </row>
    <row r="5" spans="1:336">
      <c r="A5" s="11">
        <v>2019</v>
      </c>
      <c r="B5" s="409">
        <v>56</v>
      </c>
      <c r="C5" s="409">
        <v>14</v>
      </c>
      <c r="D5" s="410">
        <f>SUM(B5:C5)</f>
        <v>70</v>
      </c>
      <c r="E5" s="411">
        <f>ROUND((O5/B5), 0)</f>
        <v>26</v>
      </c>
      <c r="F5" s="411">
        <f>ROUND((O5/D5), 0)</f>
        <v>21</v>
      </c>
      <c r="G5" s="409">
        <v>56</v>
      </c>
      <c r="H5" s="409">
        <v>14</v>
      </c>
      <c r="I5" s="409">
        <v>119</v>
      </c>
      <c r="J5" s="409">
        <v>143</v>
      </c>
      <c r="K5" s="410">
        <f t="shared" ref="K5" si="11">SUM(I5:J5)</f>
        <v>262</v>
      </c>
      <c r="L5" s="409">
        <v>48</v>
      </c>
      <c r="M5" s="411">
        <f>(I5+L5)</f>
        <v>167</v>
      </c>
      <c r="N5" s="409">
        <v>65</v>
      </c>
      <c r="O5" s="409">
        <v>1437</v>
      </c>
      <c r="P5" s="413">
        <f t="shared" ref="P5" si="12">M5/O5</f>
        <v>0.116214335421016</v>
      </c>
      <c r="Q5" s="409">
        <v>87</v>
      </c>
      <c r="R5" s="409">
        <v>313</v>
      </c>
      <c r="S5" s="24">
        <v>20423885</v>
      </c>
      <c r="T5" s="415">
        <f>SUM(U5:V5)</f>
        <v>21187121</v>
      </c>
      <c r="U5" s="24">
        <v>12503186</v>
      </c>
      <c r="V5" s="24">
        <v>8683935</v>
      </c>
      <c r="W5" s="335">
        <f t="shared" ref="W5" si="13">V5/T5</f>
        <v>0.40986857062835486</v>
      </c>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6"/>
      <c r="BO5" s="416"/>
      <c r="BP5" s="416"/>
      <c r="BQ5" s="416"/>
      <c r="BR5" s="416"/>
      <c r="BS5" s="416"/>
      <c r="BT5" s="416"/>
      <c r="BU5" s="416"/>
      <c r="BV5" s="416"/>
      <c r="BW5" s="416"/>
      <c r="BX5" s="416"/>
      <c r="BY5" s="416"/>
      <c r="BZ5" s="416"/>
      <c r="CA5" s="416"/>
      <c r="CB5" s="416"/>
      <c r="CC5" s="416"/>
      <c r="CD5" s="416"/>
      <c r="CE5" s="416"/>
      <c r="CF5" s="416"/>
      <c r="CG5" s="416"/>
      <c r="CH5" s="416"/>
      <c r="CI5" s="416"/>
      <c r="CJ5" s="416"/>
      <c r="CK5" s="416"/>
      <c r="CL5" s="416"/>
      <c r="CM5" s="416"/>
      <c r="CN5" s="416"/>
      <c r="CO5" s="416"/>
      <c r="CP5" s="416"/>
      <c r="CQ5" s="416"/>
      <c r="CR5" s="416"/>
      <c r="CS5" s="416"/>
      <c r="CT5" s="416"/>
      <c r="CU5" s="416"/>
      <c r="CV5" s="416"/>
      <c r="CW5" s="416"/>
      <c r="CX5" s="416"/>
      <c r="CY5" s="416"/>
      <c r="CZ5" s="416"/>
      <c r="DA5" s="416"/>
      <c r="DB5" s="416"/>
      <c r="DC5" s="416"/>
      <c r="DD5" s="416"/>
      <c r="DE5" s="416"/>
      <c r="DF5" s="416"/>
      <c r="DG5" s="416"/>
      <c r="DH5" s="416"/>
      <c r="DI5" s="416"/>
      <c r="DJ5" s="416"/>
      <c r="DK5" s="416"/>
      <c r="DL5" s="416"/>
      <c r="DM5" s="416"/>
      <c r="DN5" s="416"/>
      <c r="DO5" s="416"/>
      <c r="DP5" s="416"/>
      <c r="DQ5" s="416"/>
      <c r="DR5" s="416"/>
      <c r="DS5" s="416"/>
      <c r="DT5" s="416"/>
      <c r="DU5" s="416"/>
      <c r="DV5" s="416"/>
      <c r="DW5" s="416"/>
      <c r="DX5" s="416"/>
      <c r="DY5" s="416"/>
      <c r="DZ5" s="416"/>
      <c r="EA5" s="416"/>
      <c r="EB5" s="416"/>
      <c r="EC5" s="416"/>
      <c r="ED5" s="416"/>
      <c r="EE5" s="416"/>
      <c r="EF5" s="416"/>
      <c r="EG5" s="416"/>
      <c r="EH5" s="416"/>
      <c r="EI5" s="416"/>
      <c r="EJ5" s="416"/>
      <c r="EK5" s="416"/>
      <c r="EL5" s="416"/>
      <c r="EM5" s="416"/>
      <c r="EN5" s="416"/>
      <c r="EO5" s="416"/>
      <c r="EP5" s="416"/>
      <c r="EQ5" s="416"/>
      <c r="ER5" s="416"/>
      <c r="ES5" s="416"/>
      <c r="ET5" s="416"/>
      <c r="EU5" s="416"/>
      <c r="EV5" s="416"/>
      <c r="EW5" s="416"/>
      <c r="EX5" s="416"/>
      <c r="EY5" s="416"/>
      <c r="EZ5" s="416"/>
      <c r="FA5" s="416"/>
      <c r="FB5" s="416"/>
      <c r="FC5" s="416"/>
      <c r="FD5" s="416"/>
      <c r="FE5" s="416"/>
      <c r="FF5" s="416"/>
      <c r="FG5" s="416"/>
      <c r="FH5" s="416"/>
      <c r="FI5" s="416"/>
      <c r="FJ5" s="416"/>
      <c r="FK5" s="416"/>
      <c r="FL5" s="416"/>
      <c r="FM5" s="416"/>
      <c r="FN5" s="416"/>
      <c r="FO5" s="416"/>
      <c r="FP5" s="416"/>
      <c r="FQ5" s="416"/>
      <c r="FR5" s="416"/>
      <c r="FS5" s="416"/>
      <c r="FT5" s="416"/>
      <c r="FU5" s="416"/>
      <c r="FV5" s="416"/>
      <c r="FW5" s="416"/>
      <c r="FX5" s="416"/>
      <c r="FY5" s="416"/>
      <c r="FZ5" s="416"/>
      <c r="GA5" s="416"/>
      <c r="GB5" s="416"/>
      <c r="GC5" s="416"/>
      <c r="GD5" s="416"/>
      <c r="GE5" s="416"/>
      <c r="GF5" s="416"/>
      <c r="GG5" s="416"/>
      <c r="GH5" s="416"/>
      <c r="GI5" s="416"/>
      <c r="GJ5" s="416"/>
      <c r="GK5" s="416"/>
      <c r="GL5" s="416"/>
      <c r="GM5" s="416"/>
      <c r="GN5" s="416"/>
      <c r="GO5" s="416"/>
      <c r="GP5" s="416"/>
      <c r="GQ5" s="416"/>
      <c r="GR5" s="416"/>
      <c r="GS5" s="416"/>
      <c r="GT5" s="416"/>
      <c r="GU5" s="416"/>
      <c r="GV5" s="416"/>
      <c r="GW5" s="416"/>
      <c r="GX5" s="416"/>
      <c r="GY5" s="416"/>
      <c r="GZ5" s="416"/>
      <c r="HA5" s="416"/>
      <c r="HB5" s="416"/>
      <c r="HC5" s="416"/>
      <c r="HD5" s="416"/>
      <c r="HE5" s="416"/>
      <c r="HF5" s="416"/>
      <c r="HG5" s="416"/>
      <c r="HH5" s="416"/>
      <c r="HI5" s="416"/>
      <c r="HJ5" s="416"/>
      <c r="HK5" s="416"/>
      <c r="HL5" s="416"/>
      <c r="HM5" s="416"/>
      <c r="HN5" s="416"/>
      <c r="HO5" s="416"/>
      <c r="HP5" s="416"/>
      <c r="HQ5" s="416"/>
      <c r="HR5" s="416"/>
      <c r="HS5" s="416"/>
      <c r="HT5" s="416"/>
      <c r="HU5" s="416"/>
      <c r="HV5" s="416"/>
      <c r="HW5" s="416"/>
      <c r="HX5" s="416"/>
      <c r="HY5" s="416"/>
      <c r="HZ5" s="416"/>
      <c r="IA5" s="416"/>
      <c r="IB5" s="416"/>
      <c r="IC5" s="416"/>
      <c r="ID5" s="416"/>
      <c r="IE5" s="416"/>
      <c r="IF5" s="416"/>
      <c r="IG5" s="416"/>
      <c r="IH5" s="416"/>
      <c r="II5" s="416"/>
      <c r="IJ5" s="416"/>
      <c r="IK5" s="416"/>
      <c r="IL5" s="416"/>
      <c r="IM5" s="416"/>
      <c r="IN5" s="416"/>
      <c r="IO5" s="416"/>
      <c r="IP5" s="416"/>
      <c r="IQ5" s="416"/>
      <c r="IR5" s="416"/>
      <c r="IS5" s="416"/>
      <c r="IT5" s="416"/>
      <c r="IU5" s="416"/>
      <c r="IV5" s="416"/>
      <c r="IW5" s="416"/>
      <c r="IX5" s="416"/>
      <c r="IY5" s="416"/>
      <c r="IZ5" s="416"/>
      <c r="JA5" s="416"/>
      <c r="JB5" s="416"/>
      <c r="JC5" s="416"/>
      <c r="JD5" s="416"/>
      <c r="JE5" s="416"/>
      <c r="JF5" s="416"/>
      <c r="JG5" s="416"/>
      <c r="JH5" s="416"/>
      <c r="JI5" s="416"/>
      <c r="JJ5" s="416"/>
      <c r="JK5" s="416"/>
      <c r="JL5" s="416"/>
      <c r="JM5" s="416"/>
      <c r="JN5" s="416"/>
      <c r="JO5" s="416"/>
      <c r="JP5" s="416"/>
      <c r="JQ5" s="416"/>
      <c r="JR5" s="416"/>
      <c r="JS5" s="416"/>
      <c r="JT5" s="416"/>
      <c r="JU5" s="416"/>
      <c r="JV5" s="416"/>
      <c r="JW5" s="416"/>
      <c r="JX5" s="416"/>
      <c r="JY5" s="416"/>
      <c r="JZ5" s="416"/>
      <c r="KA5" s="416"/>
      <c r="KB5" s="416"/>
      <c r="KC5" s="416"/>
      <c r="KD5" s="416"/>
      <c r="KE5" s="416"/>
      <c r="KF5" s="416"/>
      <c r="KG5" s="416"/>
      <c r="KH5" s="416"/>
      <c r="KI5" s="416"/>
      <c r="KJ5" s="416"/>
      <c r="KK5" s="416"/>
      <c r="KL5" s="416"/>
      <c r="KM5" s="416"/>
      <c r="KN5" s="416"/>
      <c r="KO5" s="416"/>
      <c r="KP5" s="416"/>
      <c r="KQ5" s="416"/>
      <c r="KR5" s="416"/>
      <c r="KS5" s="416"/>
      <c r="KT5" s="416"/>
      <c r="KU5" s="416"/>
      <c r="KV5" s="416"/>
      <c r="KW5" s="416"/>
      <c r="KX5" s="416"/>
      <c r="KY5" s="416"/>
      <c r="KZ5" s="416"/>
      <c r="LA5" s="416"/>
      <c r="LB5" s="416"/>
      <c r="LC5" s="416"/>
      <c r="LD5" s="416"/>
      <c r="LE5" s="416"/>
      <c r="LF5" s="416"/>
      <c r="LG5" s="416"/>
      <c r="LH5" s="416"/>
      <c r="LI5" s="416"/>
      <c r="LJ5" s="416"/>
      <c r="LK5" s="416"/>
      <c r="LL5" s="416"/>
      <c r="LM5" s="416"/>
      <c r="LN5" s="416"/>
      <c r="LO5" s="416"/>
      <c r="LP5" s="416"/>
      <c r="LQ5" s="416"/>
      <c r="LR5" s="416"/>
      <c r="LS5" s="416"/>
      <c r="LT5" s="416"/>
      <c r="LU5" s="416"/>
      <c r="LV5" s="416"/>
      <c r="LW5" s="416"/>
      <c r="LX5" s="416"/>
    </row>
    <row r="6" spans="1:336" s="17" customFormat="1">
      <c r="A6" s="33">
        <v>2018</v>
      </c>
      <c r="B6" s="20">
        <v>51</v>
      </c>
      <c r="C6" s="20">
        <v>9.2799999999999994</v>
      </c>
      <c r="D6" s="29">
        <f>SUM(B6:C6)</f>
        <v>60.28</v>
      </c>
      <c r="E6" s="172">
        <f>ROUND((O6/B6), 0)</f>
        <v>20</v>
      </c>
      <c r="F6" s="172">
        <f>ROUND((O6/D6), 0)</f>
        <v>17</v>
      </c>
      <c r="G6" s="20">
        <v>51</v>
      </c>
      <c r="H6" s="20">
        <v>9.2799999999999994</v>
      </c>
      <c r="I6" s="20">
        <v>100</v>
      </c>
      <c r="J6" s="20">
        <v>123</v>
      </c>
      <c r="K6" s="29">
        <f t="shared" ref="K6" si="14">SUM(I6:J6)</f>
        <v>223</v>
      </c>
      <c r="L6" s="20">
        <v>41</v>
      </c>
      <c r="M6" s="172">
        <f>(I6+L6)</f>
        <v>141</v>
      </c>
      <c r="N6" s="20">
        <v>44</v>
      </c>
      <c r="O6" s="343">
        <v>1011</v>
      </c>
      <c r="P6" s="183">
        <f>M6/O6</f>
        <v>0.1394658753709199</v>
      </c>
      <c r="Q6" s="20">
        <v>83</v>
      </c>
      <c r="R6" s="20">
        <v>126</v>
      </c>
      <c r="S6" s="24">
        <v>10689696</v>
      </c>
      <c r="T6" s="30">
        <f>SUM(U6:V6)</f>
        <v>10500428</v>
      </c>
      <c r="U6" s="24">
        <v>4464467</v>
      </c>
      <c r="V6" s="24">
        <v>6035961</v>
      </c>
      <c r="W6" s="185">
        <f>V6/T6</f>
        <v>0.57482999740582008</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336" s="10" customFormat="1">
      <c r="A7" s="33">
        <v>2017</v>
      </c>
      <c r="B7" s="20">
        <v>47</v>
      </c>
      <c r="C7" s="20">
        <v>3.74</v>
      </c>
      <c r="D7" s="34">
        <f>SUM(B7:C7)</f>
        <v>50.74</v>
      </c>
      <c r="E7" s="34">
        <f>ROUND((O7/B7), 0)</f>
        <v>14</v>
      </c>
      <c r="F7" s="34">
        <f>ROUND((O7/D7), 0)</f>
        <v>13</v>
      </c>
      <c r="G7" s="20">
        <v>47</v>
      </c>
      <c r="H7" s="20">
        <v>3.74</v>
      </c>
      <c r="I7" s="20">
        <v>86</v>
      </c>
      <c r="J7" s="20">
        <v>107</v>
      </c>
      <c r="K7" s="34">
        <f>SUM(I7:J7)</f>
        <v>193</v>
      </c>
      <c r="L7" s="20">
        <v>35.67</v>
      </c>
      <c r="M7" s="36">
        <f>(I7+L7)</f>
        <v>121.67</v>
      </c>
      <c r="N7" s="344">
        <v>52</v>
      </c>
      <c r="O7" s="344">
        <v>657.33</v>
      </c>
      <c r="P7" s="183">
        <f t="shared" ref="P7:P22" si="15">M7/O7</f>
        <v>0.18509728751159996</v>
      </c>
      <c r="Q7" s="20">
        <v>68</v>
      </c>
      <c r="R7" s="20">
        <v>107</v>
      </c>
      <c r="S7" s="300">
        <v>6493355</v>
      </c>
      <c r="T7" s="35">
        <f>SUM(U7:V7)</f>
        <v>11605154</v>
      </c>
      <c r="U7" s="341">
        <v>6640412</v>
      </c>
      <c r="V7" s="24">
        <v>4964742</v>
      </c>
      <c r="W7" s="185">
        <f t="shared" ref="W7:W22" si="16">V7/T7</f>
        <v>0.42780492184765495</v>
      </c>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4"/>
      <c r="JW7" s="124"/>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4"/>
      <c r="LP7" s="124"/>
      <c r="LQ7" s="124"/>
      <c r="LR7" s="124"/>
      <c r="LS7" s="124"/>
      <c r="LT7" s="124"/>
      <c r="LU7" s="124"/>
      <c r="LV7" s="124"/>
      <c r="LW7" s="124"/>
      <c r="LX7" s="124"/>
    </row>
    <row r="8" spans="1:336" s="93" customFormat="1">
      <c r="A8" s="95">
        <v>2016</v>
      </c>
      <c r="B8" s="63">
        <v>38</v>
      </c>
      <c r="C8" s="63">
        <v>3.4</v>
      </c>
      <c r="D8" s="81">
        <f>B8+C8</f>
        <v>41.4</v>
      </c>
      <c r="E8" s="82">
        <f>ROUND((O8/B8), 0)</f>
        <v>11</v>
      </c>
      <c r="F8" s="82">
        <f>ROUND((O8/D8), 0)</f>
        <v>10</v>
      </c>
      <c r="G8" s="63">
        <v>38</v>
      </c>
      <c r="H8" s="63">
        <v>3.4</v>
      </c>
      <c r="I8" s="63">
        <v>89</v>
      </c>
      <c r="J8" s="63">
        <v>98</v>
      </c>
      <c r="K8" s="81">
        <f>I8+J8</f>
        <v>187</v>
      </c>
      <c r="L8" s="63">
        <v>33</v>
      </c>
      <c r="M8" s="82">
        <f>I8+L8</f>
        <v>122</v>
      </c>
      <c r="N8" s="63">
        <v>37</v>
      </c>
      <c r="O8" s="63">
        <v>409</v>
      </c>
      <c r="P8" s="183">
        <f t="shared" si="15"/>
        <v>0.2982885085574572</v>
      </c>
      <c r="Q8" s="63">
        <v>111</v>
      </c>
      <c r="R8" s="63">
        <v>63</v>
      </c>
      <c r="S8" s="64">
        <v>9017829</v>
      </c>
      <c r="T8" s="85">
        <f>SUM(U8:V8)</f>
        <v>10926506</v>
      </c>
      <c r="U8" s="64">
        <v>10618992</v>
      </c>
      <c r="V8" s="64">
        <v>307514</v>
      </c>
      <c r="W8" s="185">
        <f t="shared" si="16"/>
        <v>2.8143854952351648E-2</v>
      </c>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96"/>
      <c r="JW8" s="96"/>
      <c r="JX8" s="96"/>
      <c r="JY8" s="96"/>
      <c r="JZ8" s="96"/>
      <c r="KA8" s="96"/>
      <c r="KB8" s="96"/>
      <c r="KC8" s="96"/>
      <c r="KD8" s="96"/>
      <c r="KE8" s="96"/>
      <c r="KF8" s="96"/>
      <c r="KG8" s="96"/>
      <c r="KH8" s="96"/>
      <c r="KI8" s="96"/>
      <c r="KJ8" s="96"/>
      <c r="KK8" s="96"/>
      <c r="KL8" s="96"/>
      <c r="KM8" s="96"/>
      <c r="KN8" s="96"/>
      <c r="KO8" s="96"/>
      <c r="KP8" s="96"/>
      <c r="KQ8" s="96"/>
      <c r="KR8" s="96"/>
      <c r="KS8" s="96"/>
      <c r="KT8" s="96"/>
      <c r="KU8" s="96"/>
      <c r="KV8" s="96"/>
      <c r="KW8" s="96"/>
      <c r="KX8" s="96"/>
      <c r="KY8" s="96"/>
      <c r="KZ8" s="96"/>
      <c r="LA8" s="96"/>
      <c r="LB8" s="96"/>
      <c r="LC8" s="96"/>
      <c r="LD8" s="96"/>
      <c r="LE8" s="96"/>
      <c r="LF8" s="96"/>
      <c r="LG8" s="96"/>
      <c r="LH8" s="96"/>
      <c r="LI8" s="96"/>
      <c r="LJ8" s="96"/>
      <c r="LK8" s="96"/>
      <c r="LL8" s="96"/>
      <c r="LM8" s="96"/>
      <c r="LN8" s="96"/>
      <c r="LO8" s="96"/>
      <c r="LP8" s="96"/>
      <c r="LQ8" s="96"/>
      <c r="LR8" s="96"/>
      <c r="LS8" s="96"/>
      <c r="LT8" s="96"/>
      <c r="LU8" s="96"/>
      <c r="LV8" s="96"/>
      <c r="LW8" s="96"/>
      <c r="LX8" s="96"/>
    </row>
    <row r="9" spans="1:336" s="79" customFormat="1">
      <c r="A9" s="90">
        <v>2015</v>
      </c>
      <c r="B9" s="91">
        <v>5</v>
      </c>
      <c r="C9" s="91">
        <v>5</v>
      </c>
      <c r="D9" s="81">
        <v>10</v>
      </c>
      <c r="E9" s="81">
        <v>67</v>
      </c>
      <c r="F9" s="81">
        <v>33.5</v>
      </c>
      <c r="G9" s="111"/>
      <c r="H9" s="111"/>
      <c r="I9" s="91">
        <v>108</v>
      </c>
      <c r="J9" s="91">
        <v>114</v>
      </c>
      <c r="K9" s="81">
        <v>222</v>
      </c>
      <c r="L9" s="91">
        <v>38</v>
      </c>
      <c r="M9" s="81">
        <v>146</v>
      </c>
      <c r="N9" s="91">
        <v>40</v>
      </c>
      <c r="O9" s="91">
        <v>335</v>
      </c>
      <c r="P9" s="183">
        <f t="shared" si="15"/>
        <v>0.43582089552238806</v>
      </c>
      <c r="Q9" s="91">
        <v>106</v>
      </c>
      <c r="R9" s="91">
        <v>85</v>
      </c>
      <c r="S9" s="102">
        <v>11333895</v>
      </c>
      <c r="T9" s="103">
        <v>9288667</v>
      </c>
      <c r="U9" s="102">
        <v>3326133</v>
      </c>
      <c r="V9" s="102">
        <v>5962534</v>
      </c>
      <c r="W9" s="185">
        <f t="shared" si="16"/>
        <v>0.64191492708264808</v>
      </c>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6"/>
      <c r="LP9" s="136"/>
      <c r="LQ9" s="136"/>
      <c r="LR9" s="136"/>
      <c r="LS9" s="136"/>
      <c r="LT9" s="136"/>
      <c r="LU9" s="136"/>
      <c r="LV9" s="136"/>
      <c r="LW9" s="136"/>
      <c r="LX9" s="136"/>
    </row>
    <row r="10" spans="1:336" s="71" customFormat="1">
      <c r="A10" s="90">
        <v>2014</v>
      </c>
      <c r="B10" s="91">
        <v>30</v>
      </c>
      <c r="C10" s="91">
        <v>6.85</v>
      </c>
      <c r="D10" s="81">
        <f>B10+C10</f>
        <v>36.85</v>
      </c>
      <c r="E10" s="82">
        <f t="shared" ref="E10:E22" si="17">ROUND((O10/B10), 0)</f>
        <v>14</v>
      </c>
      <c r="F10" s="82">
        <f t="shared" ref="F10:F22" si="18">ROUND((O10/D10), 0)</f>
        <v>11</v>
      </c>
      <c r="G10" s="111"/>
      <c r="H10" s="111"/>
      <c r="I10" s="91">
        <v>127</v>
      </c>
      <c r="J10" s="91">
        <v>119</v>
      </c>
      <c r="K10" s="81">
        <f>I10+J10</f>
        <v>246</v>
      </c>
      <c r="L10" s="91">
        <v>39.67</v>
      </c>
      <c r="M10" s="82">
        <f>I10+L10</f>
        <v>166.67000000000002</v>
      </c>
      <c r="N10" s="91">
        <v>37</v>
      </c>
      <c r="O10" s="91">
        <v>412</v>
      </c>
      <c r="P10" s="183">
        <f t="shared" si="15"/>
        <v>0.40453883495145637</v>
      </c>
      <c r="Q10" s="91">
        <v>105</v>
      </c>
      <c r="R10" s="91">
        <v>48</v>
      </c>
      <c r="S10" s="92">
        <v>8261582</v>
      </c>
      <c r="T10" s="85">
        <f t="shared" ref="T10:T22" si="19">SUM(U10:V10)</f>
        <v>6327682</v>
      </c>
      <c r="U10" s="92">
        <v>3593175</v>
      </c>
      <c r="V10" s="92">
        <v>2734507</v>
      </c>
      <c r="W10" s="185">
        <f t="shared" si="16"/>
        <v>0.43214987731684368</v>
      </c>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6"/>
      <c r="LP10" s="126"/>
      <c r="LQ10" s="126"/>
      <c r="LR10" s="126"/>
      <c r="LS10" s="126"/>
      <c r="LT10" s="126"/>
      <c r="LU10" s="126"/>
      <c r="LV10" s="126"/>
      <c r="LW10" s="126"/>
      <c r="LX10" s="126"/>
    </row>
    <row r="11" spans="1:336" s="71" customFormat="1">
      <c r="A11" s="95">
        <v>2013</v>
      </c>
      <c r="B11" s="361">
        <v>27</v>
      </c>
      <c r="C11" s="361">
        <v>6</v>
      </c>
      <c r="D11" s="108">
        <f>B11+C11</f>
        <v>33</v>
      </c>
      <c r="E11" s="109">
        <f t="shared" si="17"/>
        <v>15</v>
      </c>
      <c r="F11" s="109">
        <f t="shared" si="18"/>
        <v>12</v>
      </c>
      <c r="G11" s="113"/>
      <c r="H11" s="113"/>
      <c r="I11" s="361">
        <v>180</v>
      </c>
      <c r="J11" s="361">
        <v>142</v>
      </c>
      <c r="K11" s="108">
        <f>I11+J11</f>
        <v>322</v>
      </c>
      <c r="L11" s="361">
        <v>47</v>
      </c>
      <c r="M11" s="109">
        <f>I11+L11</f>
        <v>227</v>
      </c>
      <c r="N11" s="361">
        <v>41</v>
      </c>
      <c r="O11" s="361">
        <v>393</v>
      </c>
      <c r="P11" s="183">
        <f t="shared" si="15"/>
        <v>0.57760814249363868</v>
      </c>
      <c r="Q11" s="361">
        <v>84</v>
      </c>
      <c r="R11" s="361">
        <v>37</v>
      </c>
      <c r="S11" s="112">
        <v>7408483</v>
      </c>
      <c r="T11" s="110">
        <f t="shared" si="19"/>
        <v>6578825</v>
      </c>
      <c r="U11" s="112">
        <v>3324959</v>
      </c>
      <c r="V11" s="112">
        <v>3253866</v>
      </c>
      <c r="W11" s="185">
        <f t="shared" si="16"/>
        <v>0.49459683150106593</v>
      </c>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6"/>
      <c r="JW11" s="126"/>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6"/>
      <c r="LP11" s="126"/>
      <c r="LQ11" s="126"/>
      <c r="LR11" s="126"/>
      <c r="LS11" s="126"/>
      <c r="LT11" s="126"/>
      <c r="LU11" s="126"/>
      <c r="LV11" s="126"/>
      <c r="LW11" s="126"/>
      <c r="LX11" s="126"/>
    </row>
    <row r="12" spans="1:336" s="71" customFormat="1">
      <c r="A12" s="90">
        <v>2012</v>
      </c>
      <c r="B12" s="361">
        <v>25</v>
      </c>
      <c r="C12" s="361">
        <v>9.1999999999999993</v>
      </c>
      <c r="D12" s="108">
        <f>B12+C12</f>
        <v>34.200000000000003</v>
      </c>
      <c r="E12" s="109">
        <f t="shared" si="17"/>
        <v>13</v>
      </c>
      <c r="F12" s="109">
        <f t="shared" si="18"/>
        <v>9</v>
      </c>
      <c r="G12" s="113"/>
      <c r="H12" s="113"/>
      <c r="I12" s="361">
        <v>149</v>
      </c>
      <c r="J12" s="361">
        <v>153</v>
      </c>
      <c r="K12" s="108">
        <f>I12+J12</f>
        <v>302</v>
      </c>
      <c r="L12" s="361">
        <v>51</v>
      </c>
      <c r="M12" s="109">
        <f>I12+L12</f>
        <v>200</v>
      </c>
      <c r="N12" s="361">
        <v>52</v>
      </c>
      <c r="O12" s="361">
        <v>315</v>
      </c>
      <c r="P12" s="183">
        <f t="shared" si="15"/>
        <v>0.63492063492063489</v>
      </c>
      <c r="Q12" s="361">
        <v>117</v>
      </c>
      <c r="R12" s="361">
        <v>33</v>
      </c>
      <c r="S12" s="112">
        <v>7600398</v>
      </c>
      <c r="T12" s="110">
        <f t="shared" si="19"/>
        <v>6750810</v>
      </c>
      <c r="U12" s="112">
        <v>2746949</v>
      </c>
      <c r="V12" s="112">
        <v>4003861</v>
      </c>
      <c r="W12" s="185">
        <f t="shared" si="16"/>
        <v>0.5930934213820267</v>
      </c>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6"/>
      <c r="JW12" s="126"/>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6"/>
      <c r="LP12" s="126"/>
      <c r="LQ12" s="126"/>
      <c r="LR12" s="126"/>
      <c r="LS12" s="126"/>
      <c r="LT12" s="126"/>
      <c r="LU12" s="126"/>
      <c r="LV12" s="126"/>
      <c r="LW12" s="126"/>
      <c r="LX12" s="126"/>
    </row>
    <row r="13" spans="1:336" s="71" customFormat="1">
      <c r="A13" s="90">
        <v>2011</v>
      </c>
      <c r="B13" s="361">
        <v>25</v>
      </c>
      <c r="C13" s="361">
        <v>9</v>
      </c>
      <c r="D13" s="108">
        <f t="shared" ref="D13:D22" si="20">SUM(B13:C13)</f>
        <v>34</v>
      </c>
      <c r="E13" s="109">
        <f t="shared" si="17"/>
        <v>15</v>
      </c>
      <c r="F13" s="109">
        <f t="shared" si="18"/>
        <v>11</v>
      </c>
      <c r="G13" s="113"/>
      <c r="H13" s="113"/>
      <c r="I13" s="361">
        <v>182</v>
      </c>
      <c r="J13" s="361">
        <v>180</v>
      </c>
      <c r="K13" s="108">
        <f t="shared" ref="K13:K22" si="21">SUM(I13:J13)</f>
        <v>362</v>
      </c>
      <c r="L13" s="361">
        <v>60</v>
      </c>
      <c r="M13" s="109">
        <f t="shared" ref="M13:M22" si="22">(I13+L13)</f>
        <v>242</v>
      </c>
      <c r="N13" s="361">
        <v>64</v>
      </c>
      <c r="O13" s="361">
        <v>374</v>
      </c>
      <c r="P13" s="183">
        <f t="shared" si="15"/>
        <v>0.6470588235294118</v>
      </c>
      <c r="Q13" s="361">
        <v>160</v>
      </c>
      <c r="R13" s="361">
        <v>63</v>
      </c>
      <c r="S13" s="112">
        <v>7434246</v>
      </c>
      <c r="T13" s="110">
        <f t="shared" si="19"/>
        <v>7451944</v>
      </c>
      <c r="U13" s="112">
        <v>4434820</v>
      </c>
      <c r="V13" s="112">
        <v>3017124</v>
      </c>
      <c r="W13" s="185">
        <f t="shared" si="16"/>
        <v>0.40487743869250764</v>
      </c>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row>
    <row r="14" spans="1:336" s="71" customFormat="1">
      <c r="A14" s="90">
        <v>2010</v>
      </c>
      <c r="B14" s="361">
        <v>27</v>
      </c>
      <c r="C14" s="361">
        <v>9.6</v>
      </c>
      <c r="D14" s="108">
        <f t="shared" si="20"/>
        <v>36.6</v>
      </c>
      <c r="E14" s="109">
        <f t="shared" si="17"/>
        <v>15</v>
      </c>
      <c r="F14" s="109">
        <f t="shared" si="18"/>
        <v>11</v>
      </c>
      <c r="G14" s="113"/>
      <c r="H14" s="113"/>
      <c r="I14" s="361">
        <v>159</v>
      </c>
      <c r="J14" s="361">
        <v>195</v>
      </c>
      <c r="K14" s="108">
        <f t="shared" si="21"/>
        <v>354</v>
      </c>
      <c r="L14" s="361">
        <v>130.65</v>
      </c>
      <c r="M14" s="109">
        <f t="shared" si="22"/>
        <v>289.64999999999998</v>
      </c>
      <c r="N14" s="361">
        <v>42</v>
      </c>
      <c r="O14" s="361">
        <v>397.84000000000003</v>
      </c>
      <c r="P14" s="183">
        <f t="shared" si="15"/>
        <v>0.72805650512768938</v>
      </c>
      <c r="Q14" s="361">
        <v>112</v>
      </c>
      <c r="R14" s="361">
        <v>73</v>
      </c>
      <c r="S14" s="112">
        <v>5461367.29</v>
      </c>
      <c r="T14" s="110">
        <f t="shared" si="19"/>
        <v>5549356</v>
      </c>
      <c r="U14" s="112">
        <v>3430566</v>
      </c>
      <c r="V14" s="112">
        <v>2118790</v>
      </c>
      <c r="W14" s="185">
        <f t="shared" si="16"/>
        <v>0.38180826748184832</v>
      </c>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c r="IT14" s="126"/>
      <c r="IU14" s="126"/>
      <c r="IV14" s="126"/>
      <c r="IW14" s="126"/>
      <c r="IX14" s="126"/>
      <c r="IY14" s="126"/>
      <c r="IZ14" s="126"/>
      <c r="JA14" s="126"/>
      <c r="JB14" s="126"/>
      <c r="JC14" s="126"/>
      <c r="JD14" s="126"/>
      <c r="JE14" s="126"/>
      <c r="JF14" s="126"/>
      <c r="JG14" s="126"/>
      <c r="JH14" s="126"/>
      <c r="JI14" s="126"/>
      <c r="JJ14" s="126"/>
      <c r="JK14" s="126"/>
      <c r="JL14" s="126"/>
      <c r="JM14" s="126"/>
      <c r="JN14" s="126"/>
      <c r="JO14" s="126"/>
      <c r="JP14" s="126"/>
      <c r="JQ14" s="126"/>
      <c r="JR14" s="126"/>
      <c r="JS14" s="126"/>
      <c r="JT14" s="126"/>
      <c r="JU14" s="126"/>
      <c r="JV14" s="126"/>
      <c r="JW14" s="126"/>
      <c r="JX14" s="126"/>
      <c r="JY14" s="126"/>
      <c r="JZ14" s="126"/>
      <c r="KA14" s="126"/>
      <c r="KB14" s="126"/>
      <c r="KC14" s="126"/>
      <c r="KD14" s="126"/>
      <c r="KE14" s="126"/>
      <c r="KF14" s="126"/>
      <c r="KG14" s="126"/>
      <c r="KH14" s="126"/>
      <c r="KI14" s="126"/>
      <c r="KJ14" s="126"/>
      <c r="KK14" s="126"/>
      <c r="KL14" s="126"/>
      <c r="KM14" s="126"/>
      <c r="KN14" s="126"/>
      <c r="KO14" s="126"/>
      <c r="KP14" s="126"/>
      <c r="KQ14" s="126"/>
      <c r="KR14" s="126"/>
      <c r="KS14" s="126"/>
      <c r="KT14" s="126"/>
      <c r="KU14" s="126"/>
      <c r="KV14" s="126"/>
      <c r="KW14" s="126"/>
      <c r="KX14" s="126"/>
      <c r="KY14" s="126"/>
      <c r="KZ14" s="126"/>
      <c r="LA14" s="126"/>
      <c r="LB14" s="126"/>
      <c r="LC14" s="126"/>
      <c r="LD14" s="126"/>
      <c r="LE14" s="126"/>
      <c r="LF14" s="126"/>
      <c r="LG14" s="126"/>
      <c r="LH14" s="126"/>
      <c r="LI14" s="126"/>
      <c r="LJ14" s="126"/>
      <c r="LK14" s="126"/>
      <c r="LL14" s="126"/>
      <c r="LM14" s="126"/>
      <c r="LN14" s="126"/>
      <c r="LO14" s="126"/>
      <c r="LP14" s="126"/>
      <c r="LQ14" s="126"/>
      <c r="LR14" s="126"/>
      <c r="LS14" s="126"/>
      <c r="LT14" s="126"/>
      <c r="LU14" s="126"/>
      <c r="LV14" s="126"/>
      <c r="LW14" s="126"/>
      <c r="LX14" s="126"/>
    </row>
    <row r="15" spans="1:336" s="71" customFormat="1">
      <c r="A15" s="90">
        <v>2009</v>
      </c>
      <c r="B15" s="361">
        <v>25</v>
      </c>
      <c r="C15" s="361">
        <v>7.4</v>
      </c>
      <c r="D15" s="108">
        <f t="shared" si="20"/>
        <v>32.4</v>
      </c>
      <c r="E15" s="109">
        <f t="shared" si="17"/>
        <v>16</v>
      </c>
      <c r="F15" s="109">
        <f t="shared" si="18"/>
        <v>13</v>
      </c>
      <c r="G15" s="113"/>
      <c r="H15" s="113"/>
      <c r="I15" s="361">
        <v>180</v>
      </c>
      <c r="J15" s="361">
        <v>163</v>
      </c>
      <c r="K15" s="108">
        <f t="shared" si="21"/>
        <v>343</v>
      </c>
      <c r="L15" s="361">
        <v>86.43</v>
      </c>
      <c r="M15" s="109">
        <f t="shared" si="22"/>
        <v>266.43</v>
      </c>
      <c r="N15" s="361">
        <v>43</v>
      </c>
      <c r="O15" s="361">
        <v>411.13</v>
      </c>
      <c r="P15" s="183">
        <f t="shared" si="15"/>
        <v>0.64804319801522636</v>
      </c>
      <c r="Q15" s="361">
        <v>113</v>
      </c>
      <c r="R15" s="361">
        <v>41</v>
      </c>
      <c r="S15" s="112">
        <v>4178141.43</v>
      </c>
      <c r="T15" s="110">
        <f t="shared" si="19"/>
        <v>4264640</v>
      </c>
      <c r="U15" s="112">
        <v>2657833</v>
      </c>
      <c r="V15" s="112">
        <v>1606807</v>
      </c>
      <c r="W15" s="185">
        <f t="shared" si="16"/>
        <v>0.37677435844526153</v>
      </c>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c r="IR15" s="126"/>
      <c r="IS15" s="126"/>
      <c r="IT15" s="126"/>
      <c r="IU15" s="126"/>
      <c r="IV15" s="126"/>
      <c r="IW15" s="126"/>
      <c r="IX15" s="126"/>
      <c r="IY15" s="126"/>
      <c r="IZ15" s="126"/>
      <c r="JA15" s="126"/>
      <c r="JB15" s="126"/>
      <c r="JC15" s="126"/>
      <c r="JD15" s="126"/>
      <c r="JE15" s="126"/>
      <c r="JF15" s="126"/>
      <c r="JG15" s="126"/>
      <c r="JH15" s="126"/>
      <c r="JI15" s="126"/>
      <c r="JJ15" s="126"/>
      <c r="JK15" s="126"/>
      <c r="JL15" s="126"/>
      <c r="JM15" s="126"/>
      <c r="JN15" s="126"/>
      <c r="JO15" s="126"/>
      <c r="JP15" s="126"/>
      <c r="JQ15" s="126"/>
      <c r="JR15" s="126"/>
      <c r="JS15" s="126"/>
      <c r="JT15" s="126"/>
      <c r="JU15" s="126"/>
      <c r="JV15" s="126"/>
      <c r="JW15" s="126"/>
      <c r="JX15" s="126"/>
      <c r="JY15" s="126"/>
      <c r="JZ15" s="126"/>
      <c r="KA15" s="126"/>
      <c r="KB15" s="126"/>
      <c r="KC15" s="126"/>
      <c r="KD15" s="126"/>
      <c r="KE15" s="126"/>
      <c r="KF15" s="126"/>
      <c r="KG15" s="126"/>
      <c r="KH15" s="126"/>
      <c r="KI15" s="126"/>
      <c r="KJ15" s="126"/>
      <c r="KK15" s="126"/>
      <c r="KL15" s="126"/>
      <c r="KM15" s="126"/>
      <c r="KN15" s="126"/>
      <c r="KO15" s="126"/>
      <c r="KP15" s="126"/>
      <c r="KQ15" s="126"/>
      <c r="KR15" s="126"/>
      <c r="KS15" s="126"/>
      <c r="KT15" s="126"/>
      <c r="KU15" s="126"/>
      <c r="KV15" s="126"/>
      <c r="KW15" s="126"/>
      <c r="KX15" s="126"/>
      <c r="KY15" s="126"/>
      <c r="KZ15" s="126"/>
      <c r="LA15" s="126"/>
      <c r="LB15" s="126"/>
      <c r="LC15" s="126"/>
      <c r="LD15" s="126"/>
      <c r="LE15" s="126"/>
      <c r="LF15" s="126"/>
      <c r="LG15" s="126"/>
      <c r="LH15" s="126"/>
      <c r="LI15" s="126"/>
      <c r="LJ15" s="126"/>
      <c r="LK15" s="126"/>
      <c r="LL15" s="126"/>
      <c r="LM15" s="126"/>
      <c r="LN15" s="126"/>
      <c r="LO15" s="126"/>
      <c r="LP15" s="126"/>
      <c r="LQ15" s="126"/>
      <c r="LR15" s="126"/>
      <c r="LS15" s="126"/>
      <c r="LT15" s="126"/>
      <c r="LU15" s="126"/>
      <c r="LV15" s="126"/>
      <c r="LW15" s="126"/>
      <c r="LX15" s="126"/>
    </row>
    <row r="16" spans="1:336" s="71" customFormat="1">
      <c r="A16" s="90">
        <v>2008</v>
      </c>
      <c r="B16" s="361">
        <v>23</v>
      </c>
      <c r="C16" s="361">
        <v>4.5</v>
      </c>
      <c r="D16" s="108">
        <f t="shared" si="20"/>
        <v>27.5</v>
      </c>
      <c r="E16" s="109">
        <f t="shared" si="17"/>
        <v>16</v>
      </c>
      <c r="F16" s="109">
        <f t="shared" si="18"/>
        <v>13</v>
      </c>
      <c r="G16" s="113"/>
      <c r="H16" s="113"/>
      <c r="I16" s="361">
        <v>156</v>
      </c>
      <c r="J16" s="361">
        <v>141</v>
      </c>
      <c r="K16" s="108">
        <f t="shared" si="21"/>
        <v>297</v>
      </c>
      <c r="L16" s="361">
        <v>87.33</v>
      </c>
      <c r="M16" s="109">
        <f t="shared" si="22"/>
        <v>243.32999999999998</v>
      </c>
      <c r="N16" s="361">
        <v>33</v>
      </c>
      <c r="O16" s="361">
        <v>368</v>
      </c>
      <c r="P16" s="183">
        <f t="shared" si="15"/>
        <v>0.66122282608695648</v>
      </c>
      <c r="Q16" s="361">
        <v>120</v>
      </c>
      <c r="R16" s="361">
        <v>24</v>
      </c>
      <c r="S16" s="112">
        <v>4302072</v>
      </c>
      <c r="T16" s="110">
        <f t="shared" si="19"/>
        <v>4306135</v>
      </c>
      <c r="U16" s="112">
        <v>2611356</v>
      </c>
      <c r="V16" s="112">
        <v>1694779</v>
      </c>
      <c r="W16" s="185">
        <f t="shared" si="16"/>
        <v>0.39357312299776948</v>
      </c>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c r="IR16" s="126"/>
      <c r="IS16" s="126"/>
      <c r="IT16" s="126"/>
      <c r="IU16" s="126"/>
      <c r="IV16" s="126"/>
      <c r="IW16" s="126"/>
      <c r="IX16" s="126"/>
      <c r="IY16" s="126"/>
      <c r="IZ16" s="126"/>
      <c r="JA16" s="126"/>
      <c r="JB16" s="126"/>
      <c r="JC16" s="126"/>
      <c r="JD16" s="126"/>
      <c r="JE16" s="126"/>
      <c r="JF16" s="126"/>
      <c r="JG16" s="126"/>
      <c r="JH16" s="126"/>
      <c r="JI16" s="126"/>
      <c r="JJ16" s="126"/>
      <c r="JK16" s="126"/>
      <c r="JL16" s="126"/>
      <c r="JM16" s="126"/>
      <c r="JN16" s="126"/>
      <c r="JO16" s="126"/>
      <c r="JP16" s="126"/>
      <c r="JQ16" s="126"/>
      <c r="JR16" s="126"/>
      <c r="JS16" s="126"/>
      <c r="JT16" s="126"/>
      <c r="JU16" s="126"/>
      <c r="JV16" s="126"/>
      <c r="JW16" s="126"/>
      <c r="JX16" s="126"/>
      <c r="JY16" s="126"/>
      <c r="JZ16" s="126"/>
      <c r="KA16" s="126"/>
      <c r="KB16" s="126"/>
      <c r="KC16" s="126"/>
      <c r="KD16" s="126"/>
      <c r="KE16" s="126"/>
      <c r="KF16" s="126"/>
      <c r="KG16" s="126"/>
      <c r="KH16" s="126"/>
      <c r="KI16" s="126"/>
      <c r="KJ16" s="126"/>
      <c r="KK16" s="126"/>
      <c r="KL16" s="126"/>
      <c r="KM16" s="126"/>
      <c r="KN16" s="126"/>
      <c r="KO16" s="126"/>
      <c r="KP16" s="126"/>
      <c r="KQ16" s="126"/>
      <c r="KR16" s="126"/>
      <c r="KS16" s="126"/>
      <c r="KT16" s="126"/>
      <c r="KU16" s="126"/>
      <c r="KV16" s="126"/>
      <c r="KW16" s="126"/>
      <c r="KX16" s="126"/>
      <c r="KY16" s="126"/>
      <c r="KZ16" s="126"/>
      <c r="LA16" s="126"/>
      <c r="LB16" s="126"/>
      <c r="LC16" s="126"/>
      <c r="LD16" s="126"/>
      <c r="LE16" s="126"/>
      <c r="LF16" s="126"/>
      <c r="LG16" s="126"/>
      <c r="LH16" s="126"/>
      <c r="LI16" s="126"/>
      <c r="LJ16" s="126"/>
      <c r="LK16" s="126"/>
      <c r="LL16" s="126"/>
      <c r="LM16" s="126"/>
      <c r="LN16" s="126"/>
      <c r="LO16" s="126"/>
      <c r="LP16" s="126"/>
      <c r="LQ16" s="126"/>
      <c r="LR16" s="126"/>
      <c r="LS16" s="126"/>
      <c r="LT16" s="126"/>
      <c r="LU16" s="126"/>
      <c r="LV16" s="126"/>
      <c r="LW16" s="126"/>
      <c r="LX16" s="126"/>
    </row>
    <row r="17" spans="1:336" s="71" customFormat="1">
      <c r="A17" s="90">
        <v>2007</v>
      </c>
      <c r="B17" s="361">
        <v>23</v>
      </c>
      <c r="C17" s="361">
        <v>4</v>
      </c>
      <c r="D17" s="194">
        <f t="shared" si="20"/>
        <v>27</v>
      </c>
      <c r="E17" s="109">
        <f t="shared" si="17"/>
        <v>13</v>
      </c>
      <c r="F17" s="109">
        <f t="shared" si="18"/>
        <v>11</v>
      </c>
      <c r="G17" s="113"/>
      <c r="H17" s="113"/>
      <c r="I17" s="361">
        <v>145</v>
      </c>
      <c r="J17" s="361">
        <v>154</v>
      </c>
      <c r="K17" s="194">
        <f t="shared" si="21"/>
        <v>299</v>
      </c>
      <c r="L17" s="361">
        <v>81.42</v>
      </c>
      <c r="M17" s="109">
        <f t="shared" si="22"/>
        <v>226.42000000000002</v>
      </c>
      <c r="N17" s="361">
        <v>39</v>
      </c>
      <c r="O17" s="361">
        <v>299</v>
      </c>
      <c r="P17" s="183">
        <f t="shared" si="15"/>
        <v>0.7572575250836121</v>
      </c>
      <c r="Q17" s="361">
        <v>116</v>
      </c>
      <c r="R17" s="361">
        <v>32</v>
      </c>
      <c r="S17" s="192">
        <v>3442456</v>
      </c>
      <c r="T17" s="110">
        <f t="shared" si="19"/>
        <v>6008814</v>
      </c>
      <c r="U17" s="192">
        <v>3346224</v>
      </c>
      <c r="V17" s="192">
        <v>2662590</v>
      </c>
      <c r="W17" s="185">
        <f t="shared" si="16"/>
        <v>0.44311406543787174</v>
      </c>
      <c r="X17" s="259"/>
      <c r="Y17" s="259"/>
      <c r="Z17" s="259"/>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c r="IR17" s="126"/>
      <c r="IS17" s="126"/>
      <c r="IT17" s="126"/>
      <c r="IU17" s="126"/>
      <c r="IV17" s="126"/>
      <c r="IW17" s="126"/>
      <c r="IX17" s="126"/>
      <c r="IY17" s="126"/>
      <c r="IZ17" s="126"/>
      <c r="JA17" s="126"/>
      <c r="JB17" s="126"/>
      <c r="JC17" s="126"/>
      <c r="JD17" s="126"/>
      <c r="JE17" s="126"/>
      <c r="JF17" s="126"/>
      <c r="JG17" s="126"/>
      <c r="JH17" s="126"/>
      <c r="JI17" s="126"/>
      <c r="JJ17" s="126"/>
      <c r="JK17" s="126"/>
      <c r="JL17" s="126"/>
      <c r="JM17" s="126"/>
      <c r="JN17" s="126"/>
      <c r="JO17" s="126"/>
      <c r="JP17" s="126"/>
      <c r="JQ17" s="126"/>
      <c r="JR17" s="126"/>
      <c r="JS17" s="126"/>
      <c r="JT17" s="126"/>
      <c r="JU17" s="126"/>
      <c r="JV17" s="126"/>
      <c r="JW17" s="126"/>
      <c r="JX17" s="126"/>
      <c r="JY17" s="126"/>
      <c r="JZ17" s="126"/>
      <c r="KA17" s="126"/>
      <c r="KB17" s="126"/>
      <c r="KC17" s="126"/>
      <c r="KD17" s="126"/>
      <c r="KE17" s="126"/>
      <c r="KF17" s="126"/>
      <c r="KG17" s="126"/>
      <c r="KH17" s="126"/>
      <c r="KI17" s="126"/>
      <c r="KJ17" s="126"/>
      <c r="KK17" s="126"/>
      <c r="KL17" s="126"/>
      <c r="KM17" s="126"/>
      <c r="KN17" s="126"/>
      <c r="KO17" s="126"/>
      <c r="KP17" s="126"/>
      <c r="KQ17" s="126"/>
      <c r="KR17" s="126"/>
      <c r="KS17" s="126"/>
      <c r="KT17" s="126"/>
      <c r="KU17" s="126"/>
      <c r="KV17" s="126"/>
      <c r="KW17" s="126"/>
      <c r="KX17" s="126"/>
      <c r="KY17" s="126"/>
      <c r="KZ17" s="126"/>
      <c r="LA17" s="126"/>
      <c r="LB17" s="126"/>
      <c r="LC17" s="126"/>
      <c r="LD17" s="126"/>
      <c r="LE17" s="126"/>
      <c r="LF17" s="126"/>
      <c r="LG17" s="126"/>
      <c r="LH17" s="126"/>
      <c r="LI17" s="126"/>
      <c r="LJ17" s="126"/>
      <c r="LK17" s="126"/>
      <c r="LL17" s="126"/>
      <c r="LM17" s="126"/>
      <c r="LN17" s="126"/>
      <c r="LO17" s="126"/>
      <c r="LP17" s="126"/>
      <c r="LQ17" s="126"/>
      <c r="LR17" s="126"/>
      <c r="LS17" s="126"/>
      <c r="LT17" s="126"/>
      <c r="LU17" s="126"/>
      <c r="LV17" s="126"/>
      <c r="LW17" s="126"/>
      <c r="LX17" s="126"/>
    </row>
    <row r="18" spans="1:336" s="71" customFormat="1">
      <c r="A18" s="90">
        <v>2006</v>
      </c>
      <c r="B18" s="361">
        <v>14</v>
      </c>
      <c r="C18" s="361">
        <v>5</v>
      </c>
      <c r="D18" s="194">
        <f t="shared" si="20"/>
        <v>19</v>
      </c>
      <c r="E18" s="109">
        <f t="shared" si="17"/>
        <v>25</v>
      </c>
      <c r="F18" s="109">
        <f t="shared" si="18"/>
        <v>18</v>
      </c>
      <c r="G18" s="113"/>
      <c r="H18" s="113"/>
      <c r="I18" s="361">
        <v>149</v>
      </c>
      <c r="J18" s="361">
        <v>199</v>
      </c>
      <c r="K18" s="194">
        <f t="shared" si="21"/>
        <v>348</v>
      </c>
      <c r="L18" s="361">
        <v>116</v>
      </c>
      <c r="M18" s="109">
        <f t="shared" si="22"/>
        <v>265</v>
      </c>
      <c r="N18" s="361">
        <v>36</v>
      </c>
      <c r="O18" s="361">
        <v>349</v>
      </c>
      <c r="P18" s="183">
        <f t="shared" si="15"/>
        <v>0.75931232091690548</v>
      </c>
      <c r="Q18" s="361">
        <v>102</v>
      </c>
      <c r="R18" s="361">
        <v>26</v>
      </c>
      <c r="S18" s="192">
        <v>3351158</v>
      </c>
      <c r="T18" s="110">
        <f t="shared" si="19"/>
        <v>5206986</v>
      </c>
      <c r="U18" s="192">
        <v>2574203</v>
      </c>
      <c r="V18" s="192">
        <v>2632783</v>
      </c>
      <c r="W18" s="185">
        <f t="shared" si="16"/>
        <v>0.50562513515496299</v>
      </c>
      <c r="X18" s="259"/>
      <c r="Y18" s="259"/>
      <c r="Z18" s="259"/>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c r="IR18" s="126"/>
      <c r="IS18" s="126"/>
      <c r="IT18" s="126"/>
      <c r="IU18" s="126"/>
      <c r="IV18" s="126"/>
      <c r="IW18" s="126"/>
      <c r="IX18" s="126"/>
      <c r="IY18" s="126"/>
      <c r="IZ18" s="126"/>
      <c r="JA18" s="126"/>
      <c r="JB18" s="126"/>
      <c r="JC18" s="126"/>
      <c r="JD18" s="126"/>
      <c r="JE18" s="126"/>
      <c r="JF18" s="126"/>
      <c r="JG18" s="126"/>
      <c r="JH18" s="126"/>
      <c r="JI18" s="126"/>
      <c r="JJ18" s="126"/>
      <c r="JK18" s="126"/>
      <c r="JL18" s="126"/>
      <c r="JM18" s="126"/>
      <c r="JN18" s="126"/>
      <c r="JO18" s="126"/>
      <c r="JP18" s="126"/>
      <c r="JQ18" s="126"/>
      <c r="JR18" s="126"/>
      <c r="JS18" s="126"/>
      <c r="JT18" s="126"/>
      <c r="JU18" s="126"/>
      <c r="JV18" s="126"/>
      <c r="JW18" s="126"/>
      <c r="JX18" s="126"/>
      <c r="JY18" s="126"/>
      <c r="JZ18" s="126"/>
      <c r="KA18" s="126"/>
      <c r="KB18" s="126"/>
      <c r="KC18" s="126"/>
      <c r="KD18" s="126"/>
      <c r="KE18" s="126"/>
      <c r="KF18" s="126"/>
      <c r="KG18" s="126"/>
      <c r="KH18" s="126"/>
      <c r="KI18" s="126"/>
      <c r="KJ18" s="126"/>
      <c r="KK18" s="126"/>
      <c r="KL18" s="126"/>
      <c r="KM18" s="126"/>
      <c r="KN18" s="126"/>
      <c r="KO18" s="126"/>
      <c r="KP18" s="126"/>
      <c r="KQ18" s="126"/>
      <c r="KR18" s="126"/>
      <c r="KS18" s="126"/>
      <c r="KT18" s="126"/>
      <c r="KU18" s="126"/>
      <c r="KV18" s="126"/>
      <c r="KW18" s="126"/>
      <c r="KX18" s="126"/>
      <c r="KY18" s="126"/>
      <c r="KZ18" s="126"/>
      <c r="LA18" s="126"/>
      <c r="LB18" s="126"/>
      <c r="LC18" s="126"/>
      <c r="LD18" s="126"/>
      <c r="LE18" s="126"/>
      <c r="LF18" s="126"/>
      <c r="LG18" s="126"/>
      <c r="LH18" s="126"/>
      <c r="LI18" s="126"/>
      <c r="LJ18" s="126"/>
      <c r="LK18" s="126"/>
      <c r="LL18" s="126"/>
      <c r="LM18" s="126"/>
      <c r="LN18" s="126"/>
      <c r="LO18" s="126"/>
      <c r="LP18" s="126"/>
      <c r="LQ18" s="126"/>
      <c r="LR18" s="126"/>
      <c r="LS18" s="126"/>
      <c r="LT18" s="126"/>
      <c r="LU18" s="126"/>
      <c r="LV18" s="126"/>
      <c r="LW18" s="126"/>
      <c r="LX18" s="126"/>
    </row>
    <row r="19" spans="1:336" s="71" customFormat="1">
      <c r="A19" s="90">
        <v>2005</v>
      </c>
      <c r="B19" s="361">
        <v>14</v>
      </c>
      <c r="C19" s="361">
        <v>3</v>
      </c>
      <c r="D19" s="194">
        <f t="shared" si="20"/>
        <v>17</v>
      </c>
      <c r="E19" s="109">
        <f t="shared" si="17"/>
        <v>23</v>
      </c>
      <c r="F19" s="109">
        <f t="shared" si="18"/>
        <v>19</v>
      </c>
      <c r="G19" s="113"/>
      <c r="H19" s="113"/>
      <c r="I19" s="361">
        <v>139</v>
      </c>
      <c r="J19" s="361">
        <v>206</v>
      </c>
      <c r="K19" s="194">
        <f t="shared" si="21"/>
        <v>345</v>
      </c>
      <c r="L19" s="361">
        <v>109</v>
      </c>
      <c r="M19" s="109">
        <f t="shared" si="22"/>
        <v>248</v>
      </c>
      <c r="N19" s="361">
        <v>40</v>
      </c>
      <c r="O19" s="361">
        <v>319</v>
      </c>
      <c r="P19" s="183">
        <f t="shared" si="15"/>
        <v>0.77742946708463945</v>
      </c>
      <c r="Q19" s="361">
        <v>119</v>
      </c>
      <c r="R19" s="361">
        <v>16</v>
      </c>
      <c r="S19" s="192">
        <v>2865488</v>
      </c>
      <c r="T19" s="110">
        <f t="shared" si="19"/>
        <v>2707732</v>
      </c>
      <c r="U19" s="192">
        <v>2357784</v>
      </c>
      <c r="V19" s="192">
        <v>349948</v>
      </c>
      <c r="W19" s="185">
        <f t="shared" si="16"/>
        <v>0.129240264546122</v>
      </c>
      <c r="X19" s="259"/>
      <c r="Y19" s="259"/>
      <c r="Z19" s="259"/>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c r="IR19" s="126"/>
      <c r="IS19" s="126"/>
      <c r="IT19" s="126"/>
      <c r="IU19" s="126"/>
      <c r="IV19" s="126"/>
      <c r="IW19" s="126"/>
      <c r="IX19" s="126"/>
      <c r="IY19" s="126"/>
      <c r="IZ19" s="126"/>
      <c r="JA19" s="126"/>
      <c r="JB19" s="126"/>
      <c r="JC19" s="126"/>
      <c r="JD19" s="126"/>
      <c r="JE19" s="126"/>
      <c r="JF19" s="126"/>
      <c r="JG19" s="126"/>
      <c r="JH19" s="126"/>
      <c r="JI19" s="126"/>
      <c r="JJ19" s="126"/>
      <c r="JK19" s="126"/>
      <c r="JL19" s="126"/>
      <c r="JM19" s="126"/>
      <c r="JN19" s="126"/>
      <c r="JO19" s="126"/>
      <c r="JP19" s="126"/>
      <c r="JQ19" s="126"/>
      <c r="JR19" s="126"/>
      <c r="JS19" s="126"/>
      <c r="JT19" s="126"/>
      <c r="JU19" s="126"/>
      <c r="JV19" s="126"/>
      <c r="JW19" s="126"/>
      <c r="JX19" s="126"/>
      <c r="JY19" s="126"/>
      <c r="JZ19" s="126"/>
      <c r="KA19" s="126"/>
      <c r="KB19" s="126"/>
      <c r="KC19" s="126"/>
      <c r="KD19" s="126"/>
      <c r="KE19" s="126"/>
      <c r="KF19" s="126"/>
      <c r="KG19" s="126"/>
      <c r="KH19" s="126"/>
      <c r="KI19" s="126"/>
      <c r="KJ19" s="126"/>
      <c r="KK19" s="126"/>
      <c r="KL19" s="126"/>
      <c r="KM19" s="126"/>
      <c r="KN19" s="126"/>
      <c r="KO19" s="126"/>
      <c r="KP19" s="126"/>
      <c r="KQ19" s="126"/>
      <c r="KR19" s="126"/>
      <c r="KS19" s="126"/>
      <c r="KT19" s="126"/>
      <c r="KU19" s="126"/>
      <c r="KV19" s="126"/>
      <c r="KW19" s="126"/>
      <c r="KX19" s="126"/>
      <c r="KY19" s="126"/>
      <c r="KZ19" s="126"/>
      <c r="LA19" s="126"/>
      <c r="LB19" s="126"/>
      <c r="LC19" s="126"/>
      <c r="LD19" s="126"/>
      <c r="LE19" s="126"/>
      <c r="LF19" s="126"/>
      <c r="LG19" s="126"/>
      <c r="LH19" s="126"/>
      <c r="LI19" s="126"/>
      <c r="LJ19" s="126"/>
      <c r="LK19" s="126"/>
      <c r="LL19" s="126"/>
      <c r="LM19" s="126"/>
      <c r="LN19" s="126"/>
      <c r="LO19" s="126"/>
      <c r="LP19" s="126"/>
      <c r="LQ19" s="126"/>
      <c r="LR19" s="126"/>
      <c r="LS19" s="126"/>
      <c r="LT19" s="126"/>
      <c r="LU19" s="126"/>
      <c r="LV19" s="126"/>
      <c r="LW19" s="126"/>
      <c r="LX19" s="126"/>
    </row>
    <row r="20" spans="1:336" s="71" customFormat="1">
      <c r="A20" s="90">
        <v>2004</v>
      </c>
      <c r="B20" s="195">
        <v>14</v>
      </c>
      <c r="C20" s="195">
        <v>4</v>
      </c>
      <c r="D20" s="194">
        <f t="shared" si="20"/>
        <v>18</v>
      </c>
      <c r="E20" s="109">
        <f t="shared" si="17"/>
        <v>20</v>
      </c>
      <c r="F20" s="109">
        <f t="shared" si="18"/>
        <v>15</v>
      </c>
      <c r="G20" s="113"/>
      <c r="H20" s="113"/>
      <c r="I20" s="195">
        <v>133</v>
      </c>
      <c r="J20" s="195">
        <v>177</v>
      </c>
      <c r="K20" s="194">
        <f t="shared" si="21"/>
        <v>310</v>
      </c>
      <c r="L20" s="195">
        <v>91</v>
      </c>
      <c r="M20" s="109">
        <f t="shared" si="22"/>
        <v>224</v>
      </c>
      <c r="N20" s="195">
        <v>43</v>
      </c>
      <c r="O20" s="195">
        <v>274</v>
      </c>
      <c r="P20" s="183">
        <f t="shared" si="15"/>
        <v>0.81751824817518248</v>
      </c>
      <c r="Q20" s="195">
        <v>101</v>
      </c>
      <c r="R20" s="361">
        <v>0</v>
      </c>
      <c r="S20" s="192">
        <v>2173297</v>
      </c>
      <c r="T20" s="110">
        <f t="shared" si="19"/>
        <v>2173297</v>
      </c>
      <c r="U20" s="192">
        <v>2037624</v>
      </c>
      <c r="V20" s="192">
        <v>135673</v>
      </c>
      <c r="W20" s="185">
        <f t="shared" si="16"/>
        <v>6.2427270639953951E-2</v>
      </c>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c r="IT20" s="126"/>
      <c r="IU20" s="126"/>
      <c r="IV20" s="126"/>
      <c r="IW20" s="126"/>
      <c r="IX20" s="126"/>
      <c r="IY20" s="126"/>
      <c r="IZ20" s="126"/>
      <c r="JA20" s="126"/>
      <c r="JB20" s="126"/>
      <c r="JC20" s="126"/>
      <c r="JD20" s="126"/>
      <c r="JE20" s="126"/>
      <c r="JF20" s="126"/>
      <c r="JG20" s="126"/>
      <c r="JH20" s="126"/>
      <c r="JI20" s="126"/>
      <c r="JJ20" s="126"/>
      <c r="JK20" s="126"/>
      <c r="JL20" s="126"/>
      <c r="JM20" s="126"/>
      <c r="JN20" s="126"/>
      <c r="JO20" s="126"/>
      <c r="JP20" s="126"/>
      <c r="JQ20" s="126"/>
      <c r="JR20" s="126"/>
      <c r="JS20" s="126"/>
      <c r="JT20" s="126"/>
      <c r="JU20" s="126"/>
      <c r="JV20" s="126"/>
      <c r="JW20" s="126"/>
      <c r="JX20" s="126"/>
      <c r="JY20" s="126"/>
      <c r="JZ20" s="126"/>
      <c r="KA20" s="126"/>
      <c r="KB20" s="126"/>
      <c r="KC20" s="126"/>
      <c r="KD20" s="126"/>
      <c r="KE20" s="126"/>
      <c r="KF20" s="126"/>
      <c r="KG20" s="126"/>
      <c r="KH20" s="126"/>
      <c r="KI20" s="126"/>
      <c r="KJ20" s="126"/>
      <c r="KK20" s="126"/>
      <c r="KL20" s="126"/>
      <c r="KM20" s="126"/>
      <c r="KN20" s="126"/>
      <c r="KO20" s="126"/>
      <c r="KP20" s="126"/>
      <c r="KQ20" s="126"/>
      <c r="KR20" s="126"/>
      <c r="KS20" s="126"/>
      <c r="KT20" s="126"/>
      <c r="KU20" s="126"/>
      <c r="KV20" s="126"/>
      <c r="KW20" s="126"/>
      <c r="KX20" s="126"/>
      <c r="KY20" s="126"/>
      <c r="KZ20" s="126"/>
      <c r="LA20" s="126"/>
      <c r="LB20" s="126"/>
      <c r="LC20" s="126"/>
      <c r="LD20" s="126"/>
      <c r="LE20" s="126"/>
      <c r="LF20" s="126"/>
      <c r="LG20" s="126"/>
      <c r="LH20" s="126"/>
      <c r="LI20" s="126"/>
      <c r="LJ20" s="126"/>
      <c r="LK20" s="126"/>
      <c r="LL20" s="126"/>
      <c r="LM20" s="126"/>
      <c r="LN20" s="126"/>
      <c r="LO20" s="126"/>
      <c r="LP20" s="126"/>
      <c r="LQ20" s="126"/>
      <c r="LR20" s="126"/>
      <c r="LS20" s="126"/>
      <c r="LT20" s="126"/>
      <c r="LU20" s="126"/>
      <c r="LV20" s="126"/>
      <c r="LW20" s="126"/>
      <c r="LX20" s="126"/>
    </row>
    <row r="21" spans="1:336" s="71" customFormat="1">
      <c r="A21" s="90">
        <v>2003</v>
      </c>
      <c r="B21" s="195">
        <v>13</v>
      </c>
      <c r="C21" s="195">
        <v>3</v>
      </c>
      <c r="D21" s="194">
        <f t="shared" si="20"/>
        <v>16</v>
      </c>
      <c r="E21" s="109">
        <f t="shared" si="17"/>
        <v>21</v>
      </c>
      <c r="F21" s="109">
        <f t="shared" si="18"/>
        <v>17</v>
      </c>
      <c r="G21" s="113"/>
      <c r="H21" s="113"/>
      <c r="I21" s="195">
        <v>152</v>
      </c>
      <c r="J21" s="195">
        <v>160</v>
      </c>
      <c r="K21" s="194">
        <f t="shared" si="21"/>
        <v>312</v>
      </c>
      <c r="L21" s="195">
        <v>93</v>
      </c>
      <c r="M21" s="109">
        <f t="shared" si="22"/>
        <v>245</v>
      </c>
      <c r="N21" s="195">
        <v>29</v>
      </c>
      <c r="O21" s="195">
        <v>276</v>
      </c>
      <c r="P21" s="183">
        <f t="shared" si="15"/>
        <v>0.8876811594202898</v>
      </c>
      <c r="Q21" s="195">
        <v>80</v>
      </c>
      <c r="R21" s="361">
        <v>6</v>
      </c>
      <c r="S21" s="192">
        <v>2137047</v>
      </c>
      <c r="T21" s="110">
        <f t="shared" si="19"/>
        <v>2137047</v>
      </c>
      <c r="U21" s="192">
        <v>2001413</v>
      </c>
      <c r="V21" s="192">
        <v>135634</v>
      </c>
      <c r="W21" s="185">
        <f t="shared" si="16"/>
        <v>6.3467953676264496E-2</v>
      </c>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c r="IR21" s="126"/>
      <c r="IS21" s="126"/>
      <c r="IT21" s="126"/>
      <c r="IU21" s="126"/>
      <c r="IV21" s="126"/>
      <c r="IW21" s="126"/>
      <c r="IX21" s="126"/>
      <c r="IY21" s="126"/>
      <c r="IZ21" s="126"/>
      <c r="JA21" s="126"/>
      <c r="JB21" s="126"/>
      <c r="JC21" s="126"/>
      <c r="JD21" s="126"/>
      <c r="JE21" s="126"/>
      <c r="JF21" s="126"/>
      <c r="JG21" s="126"/>
      <c r="JH21" s="126"/>
      <c r="JI21" s="126"/>
      <c r="JJ21" s="126"/>
      <c r="JK21" s="126"/>
      <c r="JL21" s="126"/>
      <c r="JM21" s="126"/>
      <c r="JN21" s="126"/>
      <c r="JO21" s="126"/>
      <c r="JP21" s="126"/>
      <c r="JQ21" s="126"/>
      <c r="JR21" s="126"/>
      <c r="JS21" s="126"/>
      <c r="JT21" s="126"/>
      <c r="JU21" s="126"/>
      <c r="JV21" s="126"/>
      <c r="JW21" s="126"/>
      <c r="JX21" s="126"/>
      <c r="JY21" s="126"/>
      <c r="JZ21" s="126"/>
      <c r="KA21" s="126"/>
      <c r="KB21" s="126"/>
      <c r="KC21" s="126"/>
      <c r="KD21" s="126"/>
      <c r="KE21" s="126"/>
      <c r="KF21" s="126"/>
      <c r="KG21" s="126"/>
      <c r="KH21" s="126"/>
      <c r="KI21" s="126"/>
      <c r="KJ21" s="126"/>
      <c r="KK21" s="126"/>
      <c r="KL21" s="126"/>
      <c r="KM21" s="126"/>
      <c r="KN21" s="126"/>
      <c r="KO21" s="126"/>
      <c r="KP21" s="126"/>
      <c r="KQ21" s="126"/>
      <c r="KR21" s="126"/>
      <c r="KS21" s="126"/>
      <c r="KT21" s="126"/>
      <c r="KU21" s="126"/>
      <c r="KV21" s="126"/>
      <c r="KW21" s="126"/>
      <c r="KX21" s="126"/>
      <c r="KY21" s="126"/>
      <c r="KZ21" s="126"/>
      <c r="LA21" s="126"/>
      <c r="LB21" s="126"/>
      <c r="LC21" s="126"/>
      <c r="LD21" s="126"/>
      <c r="LE21" s="126"/>
      <c r="LF21" s="126"/>
      <c r="LG21" s="126"/>
      <c r="LH21" s="126"/>
      <c r="LI21" s="126"/>
      <c r="LJ21" s="126"/>
      <c r="LK21" s="126"/>
      <c r="LL21" s="126"/>
      <c r="LM21" s="126"/>
      <c r="LN21" s="126"/>
      <c r="LO21" s="126"/>
      <c r="LP21" s="126"/>
      <c r="LQ21" s="126"/>
      <c r="LR21" s="126"/>
      <c r="LS21" s="126"/>
      <c r="LT21" s="126"/>
      <c r="LU21" s="126"/>
      <c r="LV21" s="126"/>
      <c r="LW21" s="126"/>
      <c r="LX21" s="126"/>
    </row>
    <row r="22" spans="1:336" s="71" customFormat="1">
      <c r="A22" s="99">
        <v>2002</v>
      </c>
      <c r="B22" s="260">
        <v>12</v>
      </c>
      <c r="C22" s="260">
        <v>2.8</v>
      </c>
      <c r="D22" s="261">
        <f t="shared" si="20"/>
        <v>14.8</v>
      </c>
      <c r="E22" s="262">
        <f t="shared" si="17"/>
        <v>17</v>
      </c>
      <c r="F22" s="262">
        <f t="shared" si="18"/>
        <v>13</v>
      </c>
      <c r="G22" s="263"/>
      <c r="H22" s="263"/>
      <c r="I22" s="260">
        <v>109</v>
      </c>
      <c r="J22" s="260">
        <v>144</v>
      </c>
      <c r="K22" s="261">
        <f t="shared" si="21"/>
        <v>253</v>
      </c>
      <c r="L22" s="260">
        <f>ROUND(77.4, 0)</f>
        <v>77</v>
      </c>
      <c r="M22" s="262">
        <f t="shared" si="22"/>
        <v>186</v>
      </c>
      <c r="N22" s="260">
        <v>29</v>
      </c>
      <c r="O22" s="260">
        <f>ROUND(199.2, 0)</f>
        <v>199</v>
      </c>
      <c r="P22" s="183">
        <f t="shared" si="15"/>
        <v>0.9346733668341709</v>
      </c>
      <c r="Q22" s="260">
        <v>121</v>
      </c>
      <c r="R22" s="264">
        <v>2</v>
      </c>
      <c r="S22" s="265">
        <v>2247126</v>
      </c>
      <c r="T22" s="266">
        <f t="shared" si="19"/>
        <v>2247126</v>
      </c>
      <c r="U22" s="265">
        <v>2020893</v>
      </c>
      <c r="V22" s="265">
        <v>226233</v>
      </c>
      <c r="W22" s="185">
        <f t="shared" si="16"/>
        <v>0.10067659757396781</v>
      </c>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c r="IR22" s="126"/>
      <c r="IS22" s="126"/>
      <c r="IT22" s="126"/>
      <c r="IU22" s="126"/>
      <c r="IV22" s="126"/>
      <c r="IW22" s="126"/>
      <c r="IX22" s="126"/>
      <c r="IY22" s="126"/>
      <c r="IZ22" s="126"/>
      <c r="JA22" s="126"/>
      <c r="JB22" s="126"/>
      <c r="JC22" s="126"/>
      <c r="JD22" s="126"/>
      <c r="JE22" s="126"/>
      <c r="JF22" s="126"/>
      <c r="JG22" s="126"/>
      <c r="JH22" s="126"/>
      <c r="JI22" s="126"/>
      <c r="JJ22" s="126"/>
      <c r="JK22" s="126"/>
      <c r="JL22" s="126"/>
      <c r="JM22" s="126"/>
      <c r="JN22" s="126"/>
      <c r="JO22" s="126"/>
      <c r="JP22" s="126"/>
      <c r="JQ22" s="126"/>
      <c r="JR22" s="126"/>
      <c r="JS22" s="126"/>
      <c r="JT22" s="126"/>
      <c r="JU22" s="126"/>
      <c r="JV22" s="126"/>
      <c r="JW22" s="126"/>
      <c r="JX22" s="126"/>
      <c r="JY22" s="126"/>
      <c r="JZ22" s="126"/>
      <c r="KA22" s="126"/>
      <c r="KB22" s="126"/>
      <c r="KC22" s="126"/>
      <c r="KD22" s="126"/>
      <c r="KE22" s="126"/>
      <c r="KF22" s="126"/>
      <c r="KG22" s="126"/>
      <c r="KH22" s="126"/>
      <c r="KI22" s="126"/>
      <c r="KJ22" s="126"/>
      <c r="KK22" s="126"/>
      <c r="KL22" s="126"/>
      <c r="KM22" s="126"/>
      <c r="KN22" s="126"/>
      <c r="KO22" s="126"/>
      <c r="KP22" s="126"/>
      <c r="KQ22" s="126"/>
      <c r="KR22" s="126"/>
      <c r="KS22" s="126"/>
      <c r="KT22" s="126"/>
      <c r="KU22" s="126"/>
      <c r="KV22" s="126"/>
      <c r="KW22" s="126"/>
      <c r="KX22" s="126"/>
      <c r="KY22" s="126"/>
      <c r="KZ22" s="126"/>
      <c r="LA22" s="126"/>
      <c r="LB22" s="126"/>
      <c r="LC22" s="126"/>
      <c r="LD22" s="126"/>
      <c r="LE22" s="126"/>
      <c r="LF22" s="126"/>
      <c r="LG22" s="126"/>
      <c r="LH22" s="126"/>
      <c r="LI22" s="126"/>
      <c r="LJ22" s="126"/>
      <c r="LK22" s="126"/>
      <c r="LL22" s="126"/>
      <c r="LM22" s="126"/>
      <c r="LN22" s="126"/>
      <c r="LO22" s="126"/>
      <c r="LP22" s="126"/>
      <c r="LQ22" s="126"/>
      <c r="LR22" s="126"/>
      <c r="LS22" s="126"/>
      <c r="LT22" s="126"/>
      <c r="LU22" s="126"/>
      <c r="LV22" s="126"/>
      <c r="LW22" s="126"/>
      <c r="LX22" s="126"/>
    </row>
    <row r="23" spans="1:336" s="97" customFormat="1" ht="29.45" customHeight="1">
      <c r="A23" s="684" t="s">
        <v>98</v>
      </c>
      <c r="B23" s="684"/>
      <c r="C23" s="684"/>
      <c r="D23" s="684"/>
      <c r="E23" s="684"/>
      <c r="F23" s="684"/>
      <c r="G23" s="684"/>
      <c r="H23" s="684"/>
      <c r="I23" s="684"/>
      <c r="J23" s="684"/>
      <c r="K23" s="684"/>
      <c r="L23" s="684"/>
      <c r="M23" s="684"/>
      <c r="N23" s="684"/>
      <c r="O23" s="684"/>
      <c r="P23" s="684"/>
      <c r="Q23" s="684"/>
      <c r="R23" s="684"/>
      <c r="S23" s="684"/>
      <c r="T23" s="684"/>
      <c r="U23" s="684"/>
      <c r="V23" s="684"/>
      <c r="W23" s="684"/>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c r="IR23" s="126"/>
      <c r="IS23" s="126"/>
      <c r="IT23" s="126"/>
      <c r="IU23" s="126"/>
      <c r="IV23" s="126"/>
      <c r="IW23" s="126"/>
      <c r="IX23" s="126"/>
      <c r="IY23" s="126"/>
      <c r="IZ23" s="126"/>
      <c r="JA23" s="126"/>
      <c r="JB23" s="126"/>
      <c r="JC23" s="126"/>
      <c r="JD23" s="126"/>
      <c r="JE23" s="126"/>
      <c r="JF23" s="126"/>
      <c r="JG23" s="126"/>
      <c r="JH23" s="126"/>
      <c r="JI23" s="126"/>
      <c r="JJ23" s="126"/>
      <c r="JK23" s="126"/>
      <c r="JL23" s="126"/>
      <c r="JM23" s="126"/>
      <c r="JN23" s="126"/>
      <c r="JO23" s="126"/>
      <c r="JP23" s="126"/>
      <c r="JQ23" s="126"/>
      <c r="JR23" s="126"/>
      <c r="JS23" s="126"/>
      <c r="JT23" s="126"/>
      <c r="JU23" s="126"/>
      <c r="JV23" s="126"/>
      <c r="JW23" s="126"/>
      <c r="JX23" s="126"/>
      <c r="JY23" s="126"/>
      <c r="JZ23" s="126"/>
      <c r="KA23" s="126"/>
      <c r="KB23" s="126"/>
      <c r="KC23" s="126"/>
      <c r="KD23" s="126"/>
      <c r="KE23" s="126"/>
      <c r="KF23" s="126"/>
      <c r="KG23" s="126"/>
      <c r="KH23" s="126"/>
      <c r="KI23" s="126"/>
      <c r="KJ23" s="126"/>
      <c r="KK23" s="126"/>
      <c r="KL23" s="126"/>
      <c r="KM23" s="126"/>
      <c r="KN23" s="126"/>
      <c r="KO23" s="126"/>
      <c r="KP23" s="126"/>
      <c r="KQ23" s="126"/>
      <c r="KR23" s="126"/>
      <c r="KS23" s="126"/>
      <c r="KT23" s="126"/>
      <c r="KU23" s="126"/>
      <c r="KV23" s="126"/>
      <c r="KW23" s="126"/>
      <c r="KX23" s="126"/>
      <c r="KY23" s="126"/>
      <c r="KZ23" s="126"/>
      <c r="LA23" s="126"/>
      <c r="LB23" s="126"/>
      <c r="LC23" s="126"/>
      <c r="LD23" s="126"/>
      <c r="LE23" s="126"/>
      <c r="LF23" s="126"/>
      <c r="LG23" s="126"/>
      <c r="LH23" s="126"/>
      <c r="LI23" s="126"/>
      <c r="LJ23" s="126"/>
      <c r="LK23" s="126"/>
      <c r="LL23" s="126"/>
      <c r="LM23" s="126"/>
      <c r="LN23" s="126"/>
      <c r="LO23" s="126"/>
      <c r="LP23" s="126"/>
      <c r="LQ23" s="126"/>
      <c r="LR23" s="126"/>
      <c r="LS23" s="126"/>
      <c r="LT23" s="126"/>
      <c r="LU23" s="126"/>
      <c r="LV23" s="126"/>
      <c r="LW23" s="126"/>
      <c r="LX23" s="126"/>
    </row>
    <row r="24" spans="1:336" s="97" customFormat="1">
      <c r="A24" s="684" t="s">
        <v>105</v>
      </c>
      <c r="B24" s="684"/>
      <c r="C24" s="684"/>
      <c r="D24" s="684"/>
      <c r="E24" s="684"/>
      <c r="F24" s="684"/>
      <c r="G24" s="684"/>
      <c r="H24" s="684"/>
      <c r="I24" s="684"/>
      <c r="J24" s="684"/>
      <c r="K24" s="684"/>
      <c r="L24" s="684"/>
      <c r="M24" s="684"/>
      <c r="N24" s="684"/>
      <c r="O24" s="684"/>
      <c r="P24" s="684"/>
      <c r="Q24" s="684"/>
      <c r="R24" s="684"/>
      <c r="S24" s="684"/>
      <c r="T24" s="684"/>
      <c r="U24" s="684"/>
      <c r="V24" s="684"/>
      <c r="W24" s="684"/>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c r="IR24" s="126"/>
      <c r="IS24" s="126"/>
      <c r="IT24" s="126"/>
      <c r="IU24" s="126"/>
      <c r="IV24" s="126"/>
      <c r="IW24" s="126"/>
      <c r="IX24" s="126"/>
      <c r="IY24" s="126"/>
      <c r="IZ24" s="126"/>
      <c r="JA24" s="126"/>
      <c r="JB24" s="126"/>
      <c r="JC24" s="126"/>
      <c r="JD24" s="126"/>
      <c r="JE24" s="126"/>
      <c r="JF24" s="126"/>
      <c r="JG24" s="126"/>
      <c r="JH24" s="126"/>
      <c r="JI24" s="126"/>
      <c r="JJ24" s="126"/>
      <c r="JK24" s="126"/>
      <c r="JL24" s="126"/>
      <c r="JM24" s="126"/>
      <c r="JN24" s="126"/>
      <c r="JO24" s="126"/>
      <c r="JP24" s="126"/>
      <c r="JQ24" s="126"/>
      <c r="JR24" s="126"/>
      <c r="JS24" s="126"/>
      <c r="JT24" s="126"/>
      <c r="JU24" s="126"/>
      <c r="JV24" s="126"/>
      <c r="JW24" s="126"/>
      <c r="JX24" s="126"/>
      <c r="JY24" s="126"/>
      <c r="JZ24" s="126"/>
      <c r="KA24" s="126"/>
      <c r="KB24" s="126"/>
      <c r="KC24" s="126"/>
      <c r="KD24" s="126"/>
      <c r="KE24" s="126"/>
      <c r="KF24" s="126"/>
      <c r="KG24" s="126"/>
      <c r="KH24" s="126"/>
      <c r="KI24" s="126"/>
      <c r="KJ24" s="126"/>
      <c r="KK24" s="126"/>
      <c r="KL24" s="126"/>
      <c r="KM24" s="126"/>
      <c r="KN24" s="126"/>
      <c r="KO24" s="126"/>
      <c r="KP24" s="126"/>
      <c r="KQ24" s="126"/>
      <c r="KR24" s="126"/>
      <c r="KS24" s="126"/>
      <c r="KT24" s="126"/>
      <c r="KU24" s="126"/>
      <c r="KV24" s="126"/>
      <c r="KW24" s="126"/>
      <c r="KX24" s="126"/>
      <c r="KY24" s="126"/>
      <c r="KZ24" s="126"/>
      <c r="LA24" s="126"/>
      <c r="LB24" s="126"/>
      <c r="LC24" s="126"/>
      <c r="LD24" s="126"/>
      <c r="LE24" s="126"/>
      <c r="LF24" s="126"/>
      <c r="LG24" s="126"/>
      <c r="LH24" s="126"/>
      <c r="LI24" s="126"/>
      <c r="LJ24" s="126"/>
      <c r="LK24" s="126"/>
      <c r="LL24" s="126"/>
      <c r="LM24" s="126"/>
      <c r="LN24" s="126"/>
      <c r="LO24" s="126"/>
      <c r="LP24" s="126"/>
      <c r="LQ24" s="126"/>
      <c r="LR24" s="126"/>
      <c r="LS24" s="126"/>
      <c r="LT24" s="126"/>
      <c r="LU24" s="126"/>
      <c r="LV24" s="126"/>
      <c r="LW24" s="126"/>
      <c r="LX24" s="126"/>
    </row>
    <row r="25" spans="1:336" s="98" customFormat="1">
      <c r="A25" s="655" t="s">
        <v>143</v>
      </c>
      <c r="B25" s="667"/>
      <c r="C25" s="667"/>
      <c r="D25" s="667"/>
      <c r="E25" s="667"/>
      <c r="F25" s="667"/>
      <c r="G25" s="667"/>
      <c r="H25" s="667"/>
      <c r="I25" s="667"/>
      <c r="J25" s="667"/>
      <c r="K25" s="667"/>
      <c r="L25" s="667"/>
      <c r="M25" s="667"/>
      <c r="N25" s="667"/>
      <c r="O25" s="667"/>
      <c r="P25" s="667"/>
      <c r="Q25" s="667"/>
      <c r="R25" s="667"/>
      <c r="S25" s="667"/>
      <c r="T25" s="667"/>
      <c r="U25" s="667"/>
      <c r="V25" s="667"/>
      <c r="W25" s="667"/>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c r="EC25" s="258"/>
      <c r="ED25" s="258"/>
      <c r="EE25" s="258"/>
      <c r="EF25" s="258"/>
      <c r="EG25" s="258"/>
      <c r="EH25" s="258"/>
      <c r="EI25" s="258"/>
      <c r="EJ25" s="258"/>
      <c r="EK25" s="258"/>
      <c r="EL25" s="258"/>
      <c r="EM25" s="258"/>
      <c r="EN25" s="258"/>
      <c r="EO25" s="258"/>
      <c r="EP25" s="258"/>
      <c r="EQ25" s="258"/>
      <c r="ER25" s="258"/>
      <c r="ES25" s="258"/>
      <c r="ET25" s="258"/>
      <c r="EU25" s="258"/>
      <c r="EV25" s="258"/>
      <c r="EW25" s="258"/>
      <c r="EX25" s="258"/>
      <c r="EY25" s="258"/>
      <c r="EZ25" s="258"/>
      <c r="FA25" s="258"/>
      <c r="FB25" s="258"/>
      <c r="FC25" s="258"/>
      <c r="FD25" s="258"/>
      <c r="FE25" s="258"/>
      <c r="FF25" s="258"/>
      <c r="FG25" s="258"/>
      <c r="FH25" s="258"/>
      <c r="FI25" s="258"/>
      <c r="FJ25" s="258"/>
      <c r="FK25" s="258"/>
      <c r="FL25" s="258"/>
      <c r="FM25" s="258"/>
      <c r="FN25" s="258"/>
      <c r="FO25" s="258"/>
      <c r="FP25" s="258"/>
      <c r="FQ25" s="258"/>
      <c r="FR25" s="258"/>
      <c r="FS25" s="258"/>
      <c r="FT25" s="258"/>
      <c r="FU25" s="258"/>
      <c r="FV25" s="258"/>
      <c r="FW25" s="258"/>
      <c r="FX25" s="258"/>
      <c r="FY25" s="258"/>
      <c r="FZ25" s="258"/>
      <c r="GA25" s="258"/>
      <c r="GB25" s="258"/>
      <c r="GC25" s="258"/>
      <c r="GD25" s="258"/>
      <c r="GE25" s="258"/>
      <c r="GF25" s="258"/>
      <c r="GG25" s="258"/>
      <c r="GH25" s="258"/>
      <c r="GI25" s="258"/>
      <c r="GJ25" s="258"/>
      <c r="GK25" s="258"/>
      <c r="GL25" s="258"/>
      <c r="GM25" s="258"/>
      <c r="GN25" s="258"/>
      <c r="GO25" s="258"/>
      <c r="GP25" s="258"/>
      <c r="GQ25" s="258"/>
      <c r="GR25" s="258"/>
      <c r="GS25" s="258"/>
      <c r="GT25" s="258"/>
      <c r="GU25" s="258"/>
      <c r="GV25" s="258"/>
      <c r="GW25" s="258"/>
      <c r="GX25" s="258"/>
      <c r="GY25" s="258"/>
      <c r="GZ25" s="258"/>
      <c r="HA25" s="258"/>
      <c r="HB25" s="258"/>
      <c r="HC25" s="258"/>
      <c r="HD25" s="258"/>
      <c r="HE25" s="258"/>
      <c r="HF25" s="258"/>
      <c r="HG25" s="258"/>
      <c r="HH25" s="258"/>
      <c r="HI25" s="258"/>
      <c r="HJ25" s="258"/>
      <c r="HK25" s="258"/>
      <c r="HL25" s="258"/>
      <c r="HM25" s="258"/>
      <c r="HN25" s="258"/>
      <c r="HO25" s="258"/>
      <c r="HP25" s="258"/>
      <c r="HQ25" s="258"/>
      <c r="HR25" s="258"/>
      <c r="HS25" s="258"/>
      <c r="HT25" s="258"/>
      <c r="HU25" s="258"/>
      <c r="HV25" s="258"/>
      <c r="HW25" s="258"/>
      <c r="HX25" s="258"/>
      <c r="HY25" s="258"/>
      <c r="HZ25" s="258"/>
      <c r="IA25" s="258"/>
      <c r="IB25" s="258"/>
      <c r="IC25" s="258"/>
      <c r="ID25" s="258"/>
      <c r="IE25" s="258"/>
      <c r="IF25" s="258"/>
      <c r="IG25" s="258"/>
      <c r="IH25" s="258"/>
      <c r="II25" s="258"/>
      <c r="IJ25" s="258"/>
      <c r="IK25" s="258"/>
      <c r="IL25" s="258"/>
      <c r="IM25" s="258"/>
      <c r="IN25" s="258"/>
      <c r="IO25" s="258"/>
      <c r="IP25" s="258"/>
      <c r="IQ25" s="258"/>
      <c r="IR25" s="258"/>
      <c r="IS25" s="258"/>
      <c r="IT25" s="258"/>
      <c r="IU25" s="258"/>
      <c r="IV25" s="258"/>
      <c r="IW25" s="258"/>
      <c r="IX25" s="258"/>
      <c r="IY25" s="258"/>
      <c r="IZ25" s="258"/>
      <c r="JA25" s="258"/>
      <c r="JB25" s="258"/>
      <c r="JC25" s="258"/>
      <c r="JD25" s="258"/>
      <c r="JE25" s="258"/>
      <c r="JF25" s="258"/>
      <c r="JG25" s="258"/>
      <c r="JH25" s="258"/>
      <c r="JI25" s="258"/>
      <c r="JJ25" s="258"/>
      <c r="JK25" s="258"/>
      <c r="JL25" s="258"/>
      <c r="JM25" s="258"/>
      <c r="JN25" s="258"/>
      <c r="JO25" s="258"/>
      <c r="JP25" s="258"/>
      <c r="JQ25" s="258"/>
      <c r="JR25" s="258"/>
      <c r="JS25" s="258"/>
      <c r="JT25" s="258"/>
      <c r="JU25" s="258"/>
      <c r="JV25" s="258"/>
      <c r="JW25" s="258"/>
      <c r="JX25" s="258"/>
      <c r="JY25" s="258"/>
      <c r="JZ25" s="258"/>
      <c r="KA25" s="258"/>
      <c r="KB25" s="258"/>
      <c r="KC25" s="258"/>
      <c r="KD25" s="258"/>
      <c r="KE25" s="258"/>
      <c r="KF25" s="258"/>
      <c r="KG25" s="258"/>
      <c r="KH25" s="258"/>
      <c r="KI25" s="258"/>
      <c r="KJ25" s="258"/>
      <c r="KK25" s="258"/>
      <c r="KL25" s="258"/>
      <c r="KM25" s="258"/>
      <c r="KN25" s="258"/>
      <c r="KO25" s="258"/>
      <c r="KP25" s="258"/>
      <c r="KQ25" s="258"/>
      <c r="KR25" s="258"/>
      <c r="KS25" s="258"/>
      <c r="KT25" s="258"/>
      <c r="KU25" s="258"/>
      <c r="KV25" s="258"/>
      <c r="KW25" s="258"/>
      <c r="KX25" s="258"/>
      <c r="KY25" s="258"/>
      <c r="KZ25" s="258"/>
      <c r="LA25" s="258"/>
      <c r="LB25" s="258"/>
      <c r="LC25" s="258"/>
      <c r="LD25" s="258"/>
      <c r="LE25" s="258"/>
      <c r="LF25" s="258"/>
      <c r="LG25" s="258"/>
      <c r="LH25" s="258"/>
      <c r="LI25" s="258"/>
      <c r="LJ25" s="258"/>
      <c r="LK25" s="258"/>
      <c r="LL25" s="258"/>
      <c r="LM25" s="258"/>
      <c r="LN25" s="258"/>
      <c r="LO25" s="258"/>
      <c r="LP25" s="258"/>
      <c r="LQ25" s="258"/>
      <c r="LR25" s="258"/>
      <c r="LS25" s="258"/>
      <c r="LT25" s="258"/>
      <c r="LU25" s="258"/>
      <c r="LV25" s="258"/>
      <c r="LW25" s="258"/>
      <c r="LX25" s="258"/>
    </row>
    <row r="26" spans="1:336" s="13" customFormat="1">
      <c r="A26" s="687" t="s">
        <v>175</v>
      </c>
      <c r="B26" s="688"/>
      <c r="C26" s="688"/>
      <c r="D26" s="688"/>
      <c r="E26" s="688"/>
      <c r="F26" s="688"/>
      <c r="G26" s="688"/>
      <c r="H26" s="688"/>
      <c r="I26" s="688"/>
      <c r="J26" s="688"/>
      <c r="K26" s="688"/>
      <c r="L26" s="688"/>
      <c r="M26" s="688"/>
      <c r="N26" s="688"/>
      <c r="O26" s="688"/>
      <c r="P26" s="688"/>
      <c r="Q26" s="688"/>
      <c r="R26" s="688"/>
      <c r="S26" s="688"/>
      <c r="T26" s="688"/>
      <c r="U26" s="688"/>
      <c r="V26" s="688"/>
      <c r="W26" s="689"/>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258"/>
      <c r="CI26" s="258"/>
      <c r="CJ26" s="258"/>
      <c r="CK26" s="258"/>
      <c r="CL26" s="258"/>
      <c r="CM26" s="258"/>
      <c r="CN26" s="258"/>
      <c r="CO26" s="258"/>
      <c r="CP26" s="258"/>
      <c r="CQ26" s="258"/>
      <c r="CR26" s="258"/>
      <c r="CS26" s="258"/>
      <c r="CT26" s="258"/>
      <c r="CU26" s="258"/>
      <c r="CV26" s="258"/>
      <c r="CW26" s="258"/>
      <c r="CX26" s="258"/>
      <c r="CY26" s="258"/>
      <c r="CZ26" s="258"/>
      <c r="DA26" s="258"/>
      <c r="DB26" s="258"/>
      <c r="DC26" s="258"/>
      <c r="DD26" s="258"/>
      <c r="DE26" s="258"/>
      <c r="DF26" s="258"/>
      <c r="DG26" s="258"/>
      <c r="DH26" s="258"/>
      <c r="DI26" s="258"/>
      <c r="DJ26" s="258"/>
      <c r="DK26" s="258"/>
      <c r="DL26" s="258"/>
      <c r="DM26" s="258"/>
      <c r="DN26" s="258"/>
      <c r="DO26" s="258"/>
      <c r="DP26" s="258"/>
      <c r="DQ26" s="258"/>
      <c r="DR26" s="258"/>
      <c r="DS26" s="258"/>
      <c r="DT26" s="258"/>
      <c r="DU26" s="258"/>
      <c r="DV26" s="258"/>
      <c r="DW26" s="258"/>
      <c r="DX26" s="258"/>
      <c r="DY26" s="258"/>
      <c r="DZ26" s="258"/>
      <c r="EA26" s="258"/>
      <c r="EB26" s="258"/>
      <c r="EC26" s="258"/>
      <c r="ED26" s="258"/>
      <c r="EE26" s="258"/>
      <c r="EF26" s="258"/>
      <c r="EG26" s="258"/>
      <c r="EH26" s="258"/>
      <c r="EI26" s="258"/>
      <c r="EJ26" s="258"/>
      <c r="EK26" s="258"/>
      <c r="EL26" s="258"/>
      <c r="EM26" s="258"/>
      <c r="EN26" s="258"/>
      <c r="EO26" s="258"/>
      <c r="EP26" s="258"/>
      <c r="EQ26" s="258"/>
      <c r="ER26" s="258"/>
      <c r="ES26" s="258"/>
      <c r="ET26" s="258"/>
      <c r="EU26" s="258"/>
      <c r="EV26" s="258"/>
      <c r="EW26" s="258"/>
      <c r="EX26" s="258"/>
      <c r="EY26" s="258"/>
      <c r="EZ26" s="258"/>
      <c r="FA26" s="258"/>
      <c r="FB26" s="258"/>
      <c r="FC26" s="258"/>
      <c r="FD26" s="258"/>
      <c r="FE26" s="258"/>
      <c r="FF26" s="258"/>
      <c r="FG26" s="258"/>
      <c r="FH26" s="258"/>
      <c r="FI26" s="258"/>
      <c r="FJ26" s="258"/>
      <c r="FK26" s="258"/>
      <c r="FL26" s="258"/>
      <c r="FM26" s="258"/>
      <c r="FN26" s="258"/>
      <c r="FO26" s="258"/>
      <c r="FP26" s="258"/>
      <c r="FQ26" s="258"/>
      <c r="FR26" s="258"/>
      <c r="FS26" s="258"/>
      <c r="FT26" s="258"/>
      <c r="FU26" s="258"/>
      <c r="FV26" s="258"/>
      <c r="FW26" s="258"/>
      <c r="FX26" s="258"/>
      <c r="FY26" s="258"/>
      <c r="FZ26" s="258"/>
      <c r="GA26" s="258"/>
      <c r="GB26" s="258"/>
      <c r="GC26" s="258"/>
      <c r="GD26" s="258"/>
      <c r="GE26" s="258"/>
      <c r="GF26" s="258"/>
      <c r="GG26" s="258"/>
      <c r="GH26" s="258"/>
      <c r="GI26" s="258"/>
      <c r="GJ26" s="258"/>
      <c r="GK26" s="258"/>
      <c r="GL26" s="258"/>
      <c r="GM26" s="258"/>
      <c r="GN26" s="258"/>
      <c r="GO26" s="258"/>
      <c r="GP26" s="258"/>
      <c r="GQ26" s="258"/>
      <c r="GR26" s="258"/>
      <c r="GS26" s="258"/>
      <c r="GT26" s="258"/>
      <c r="GU26" s="258"/>
      <c r="GV26" s="258"/>
      <c r="GW26" s="258"/>
      <c r="GX26" s="258"/>
      <c r="GY26" s="258"/>
      <c r="GZ26" s="258"/>
      <c r="HA26" s="258"/>
      <c r="HB26" s="258"/>
      <c r="HC26" s="258"/>
      <c r="HD26" s="258"/>
      <c r="HE26" s="258"/>
      <c r="HF26" s="258"/>
      <c r="HG26" s="258"/>
      <c r="HH26" s="258"/>
      <c r="HI26" s="258"/>
      <c r="HJ26" s="258"/>
      <c r="HK26" s="258"/>
      <c r="HL26" s="258"/>
      <c r="HM26" s="258"/>
      <c r="HN26" s="258"/>
      <c r="HO26" s="258"/>
      <c r="HP26" s="258"/>
      <c r="HQ26" s="258"/>
      <c r="HR26" s="258"/>
      <c r="HS26" s="258"/>
      <c r="HT26" s="258"/>
      <c r="HU26" s="258"/>
      <c r="HV26" s="258"/>
      <c r="HW26" s="258"/>
      <c r="HX26" s="258"/>
      <c r="HY26" s="258"/>
      <c r="HZ26" s="258"/>
      <c r="IA26" s="258"/>
      <c r="IB26" s="258"/>
      <c r="IC26" s="258"/>
      <c r="ID26" s="258"/>
      <c r="IE26" s="258"/>
      <c r="IF26" s="258"/>
      <c r="IG26" s="258"/>
      <c r="IH26" s="258"/>
      <c r="II26" s="258"/>
      <c r="IJ26" s="258"/>
      <c r="IK26" s="258"/>
      <c r="IL26" s="258"/>
      <c r="IM26" s="258"/>
      <c r="IN26" s="258"/>
      <c r="IO26" s="258"/>
      <c r="IP26" s="258"/>
      <c r="IQ26" s="258"/>
      <c r="IR26" s="258"/>
      <c r="IS26" s="258"/>
      <c r="IT26" s="258"/>
      <c r="IU26" s="258"/>
      <c r="IV26" s="258"/>
      <c r="IW26" s="258"/>
      <c r="IX26" s="258"/>
      <c r="IY26" s="258"/>
      <c r="IZ26" s="258"/>
      <c r="JA26" s="258"/>
      <c r="JB26" s="258"/>
      <c r="JC26" s="258"/>
      <c r="JD26" s="258"/>
      <c r="JE26" s="258"/>
      <c r="JF26" s="258"/>
      <c r="JG26" s="258"/>
      <c r="JH26" s="258"/>
      <c r="JI26" s="258"/>
      <c r="JJ26" s="258"/>
      <c r="JK26" s="258"/>
      <c r="JL26" s="258"/>
      <c r="JM26" s="258"/>
      <c r="JN26" s="258"/>
      <c r="JO26" s="258"/>
      <c r="JP26" s="258"/>
      <c r="JQ26" s="258"/>
      <c r="JR26" s="258"/>
      <c r="JS26" s="258"/>
      <c r="JT26" s="258"/>
      <c r="JU26" s="258"/>
      <c r="JV26" s="258"/>
      <c r="JW26" s="258"/>
      <c r="JX26" s="258"/>
      <c r="JY26" s="258"/>
      <c r="JZ26" s="258"/>
      <c r="KA26" s="258"/>
      <c r="KB26" s="258"/>
      <c r="KC26" s="258"/>
      <c r="KD26" s="258"/>
      <c r="KE26" s="258"/>
      <c r="KF26" s="258"/>
      <c r="KG26" s="258"/>
      <c r="KH26" s="258"/>
      <c r="KI26" s="258"/>
      <c r="KJ26" s="258"/>
      <c r="KK26" s="258"/>
      <c r="KL26" s="258"/>
      <c r="KM26" s="258"/>
      <c r="KN26" s="258"/>
      <c r="KO26" s="258"/>
      <c r="KP26" s="258"/>
      <c r="KQ26" s="258"/>
      <c r="KR26" s="258"/>
      <c r="KS26" s="258"/>
      <c r="KT26" s="258"/>
      <c r="KU26" s="258"/>
      <c r="KV26" s="258"/>
      <c r="KW26" s="258"/>
      <c r="KX26" s="258"/>
      <c r="KY26" s="258"/>
      <c r="KZ26" s="258"/>
      <c r="LA26" s="258"/>
      <c r="LB26" s="258"/>
      <c r="LC26" s="258"/>
      <c r="LD26" s="258"/>
      <c r="LE26" s="258"/>
      <c r="LF26" s="258"/>
      <c r="LG26" s="258"/>
      <c r="LH26" s="258"/>
      <c r="LI26" s="258"/>
      <c r="LJ26" s="258"/>
      <c r="LK26" s="258"/>
      <c r="LL26" s="258"/>
      <c r="LM26" s="258"/>
      <c r="LN26" s="258"/>
      <c r="LO26" s="258"/>
      <c r="LP26" s="258"/>
      <c r="LQ26" s="258"/>
      <c r="LR26" s="258"/>
      <c r="LS26" s="258"/>
      <c r="LT26" s="258"/>
      <c r="LU26" s="258"/>
      <c r="LV26" s="258"/>
      <c r="LW26" s="258"/>
      <c r="LX26" s="258"/>
    </row>
    <row r="27" spans="1:336" s="14" customFormat="1">
      <c r="A27" s="14" t="s">
        <v>209</v>
      </c>
      <c r="G27"/>
      <c r="H27"/>
    </row>
    <row r="28" spans="1:336" s="13" customFormat="1">
      <c r="G28" s="26"/>
      <c r="H28" s="26"/>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8"/>
      <c r="DF28" s="258"/>
      <c r="DG28" s="258"/>
      <c r="DH28" s="258"/>
      <c r="DI28" s="258"/>
      <c r="DJ28" s="258"/>
      <c r="DK28" s="258"/>
      <c r="DL28" s="258"/>
      <c r="DM28" s="258"/>
      <c r="DN28" s="258"/>
      <c r="DO28" s="258"/>
      <c r="DP28" s="258"/>
      <c r="DQ28" s="258"/>
      <c r="DR28" s="258"/>
      <c r="DS28" s="258"/>
      <c r="DT28" s="258"/>
      <c r="DU28" s="258"/>
      <c r="DV28" s="258"/>
      <c r="DW28" s="258"/>
      <c r="DX28" s="258"/>
      <c r="DY28" s="258"/>
      <c r="DZ28" s="258"/>
      <c r="EA28" s="258"/>
      <c r="EB28" s="258"/>
      <c r="EC28" s="258"/>
      <c r="ED28" s="258"/>
      <c r="EE28" s="258"/>
      <c r="EF28" s="258"/>
      <c r="EG28" s="258"/>
      <c r="EH28" s="258"/>
      <c r="EI28" s="258"/>
      <c r="EJ28" s="258"/>
      <c r="EK28" s="258"/>
      <c r="EL28" s="258"/>
      <c r="EM28" s="258"/>
      <c r="EN28" s="258"/>
      <c r="EO28" s="258"/>
      <c r="EP28" s="258"/>
      <c r="EQ28" s="258"/>
      <c r="ER28" s="258"/>
      <c r="ES28" s="258"/>
      <c r="ET28" s="258"/>
      <c r="EU28" s="258"/>
      <c r="EV28" s="258"/>
      <c r="EW28" s="258"/>
      <c r="EX28" s="258"/>
      <c r="EY28" s="258"/>
      <c r="EZ28" s="258"/>
      <c r="FA28" s="258"/>
      <c r="FB28" s="258"/>
      <c r="FC28" s="258"/>
      <c r="FD28" s="258"/>
      <c r="FE28" s="258"/>
      <c r="FF28" s="258"/>
      <c r="FG28" s="258"/>
      <c r="FH28" s="258"/>
      <c r="FI28" s="258"/>
      <c r="FJ28" s="258"/>
      <c r="FK28" s="258"/>
      <c r="FL28" s="258"/>
      <c r="FM28" s="258"/>
      <c r="FN28" s="258"/>
      <c r="FO28" s="258"/>
      <c r="FP28" s="258"/>
      <c r="FQ28" s="258"/>
      <c r="FR28" s="258"/>
      <c r="FS28" s="258"/>
      <c r="FT28" s="258"/>
      <c r="FU28" s="258"/>
      <c r="FV28" s="258"/>
      <c r="FW28" s="258"/>
      <c r="FX28" s="258"/>
      <c r="FY28" s="258"/>
      <c r="FZ28" s="258"/>
      <c r="GA28" s="258"/>
      <c r="GB28" s="258"/>
      <c r="GC28" s="258"/>
      <c r="GD28" s="258"/>
      <c r="GE28" s="258"/>
      <c r="GF28" s="258"/>
      <c r="GG28" s="258"/>
      <c r="GH28" s="258"/>
      <c r="GI28" s="258"/>
      <c r="GJ28" s="258"/>
      <c r="GK28" s="258"/>
      <c r="GL28" s="258"/>
      <c r="GM28" s="258"/>
      <c r="GN28" s="258"/>
      <c r="GO28" s="258"/>
      <c r="GP28" s="258"/>
      <c r="GQ28" s="258"/>
      <c r="GR28" s="258"/>
      <c r="GS28" s="258"/>
      <c r="GT28" s="258"/>
      <c r="GU28" s="258"/>
      <c r="GV28" s="258"/>
      <c r="GW28" s="258"/>
      <c r="GX28" s="258"/>
      <c r="GY28" s="258"/>
      <c r="GZ28" s="258"/>
      <c r="HA28" s="258"/>
      <c r="HB28" s="258"/>
      <c r="HC28" s="258"/>
      <c r="HD28" s="258"/>
      <c r="HE28" s="258"/>
      <c r="HF28" s="258"/>
      <c r="HG28" s="258"/>
      <c r="HH28" s="258"/>
      <c r="HI28" s="258"/>
      <c r="HJ28" s="258"/>
      <c r="HK28" s="258"/>
      <c r="HL28" s="258"/>
      <c r="HM28" s="258"/>
      <c r="HN28" s="258"/>
      <c r="HO28" s="258"/>
      <c r="HP28" s="258"/>
      <c r="HQ28" s="258"/>
      <c r="HR28" s="258"/>
      <c r="HS28" s="258"/>
      <c r="HT28" s="258"/>
      <c r="HU28" s="258"/>
      <c r="HV28" s="258"/>
      <c r="HW28" s="258"/>
      <c r="HX28" s="258"/>
      <c r="HY28" s="258"/>
      <c r="HZ28" s="258"/>
      <c r="IA28" s="258"/>
      <c r="IB28" s="258"/>
      <c r="IC28" s="258"/>
      <c r="ID28" s="258"/>
      <c r="IE28" s="258"/>
      <c r="IF28" s="258"/>
      <c r="IG28" s="258"/>
      <c r="IH28" s="258"/>
      <c r="II28" s="258"/>
      <c r="IJ28" s="258"/>
      <c r="IK28" s="258"/>
      <c r="IL28" s="258"/>
      <c r="IM28" s="258"/>
      <c r="IN28" s="258"/>
      <c r="IO28" s="258"/>
      <c r="IP28" s="258"/>
      <c r="IQ28" s="258"/>
      <c r="IR28" s="258"/>
      <c r="IS28" s="258"/>
      <c r="IT28" s="258"/>
      <c r="IU28" s="258"/>
      <c r="IV28" s="258"/>
      <c r="IW28" s="258"/>
      <c r="IX28" s="258"/>
      <c r="IY28" s="258"/>
      <c r="IZ28" s="258"/>
      <c r="JA28" s="258"/>
      <c r="JB28" s="258"/>
      <c r="JC28" s="258"/>
      <c r="JD28" s="258"/>
      <c r="JE28" s="258"/>
      <c r="JF28" s="258"/>
      <c r="JG28" s="258"/>
      <c r="JH28" s="258"/>
      <c r="JI28" s="258"/>
      <c r="JJ28" s="258"/>
      <c r="JK28" s="258"/>
      <c r="JL28" s="258"/>
      <c r="JM28" s="258"/>
      <c r="JN28" s="258"/>
      <c r="JO28" s="258"/>
      <c r="JP28" s="258"/>
      <c r="JQ28" s="258"/>
      <c r="JR28" s="258"/>
      <c r="JS28" s="258"/>
      <c r="JT28" s="258"/>
      <c r="JU28" s="258"/>
      <c r="JV28" s="258"/>
      <c r="JW28" s="258"/>
      <c r="JX28" s="258"/>
      <c r="JY28" s="258"/>
      <c r="JZ28" s="258"/>
      <c r="KA28" s="258"/>
      <c r="KB28" s="258"/>
      <c r="KC28" s="258"/>
      <c r="KD28" s="258"/>
      <c r="KE28" s="258"/>
      <c r="KF28" s="258"/>
      <c r="KG28" s="258"/>
      <c r="KH28" s="258"/>
      <c r="KI28" s="258"/>
      <c r="KJ28" s="258"/>
      <c r="KK28" s="258"/>
      <c r="KL28" s="258"/>
      <c r="KM28" s="258"/>
      <c r="KN28" s="258"/>
      <c r="KO28" s="258"/>
      <c r="KP28" s="258"/>
      <c r="KQ28" s="258"/>
      <c r="KR28" s="258"/>
      <c r="KS28" s="258"/>
      <c r="KT28" s="258"/>
      <c r="KU28" s="258"/>
      <c r="KV28" s="258"/>
      <c r="KW28" s="258"/>
      <c r="KX28" s="258"/>
      <c r="KY28" s="258"/>
      <c r="KZ28" s="258"/>
      <c r="LA28" s="258"/>
      <c r="LB28" s="258"/>
      <c r="LC28" s="258"/>
      <c r="LD28" s="258"/>
      <c r="LE28" s="258"/>
      <c r="LF28" s="258"/>
      <c r="LG28" s="258"/>
      <c r="LH28" s="258"/>
      <c r="LI28" s="258"/>
      <c r="LJ28" s="258"/>
      <c r="LK28" s="258"/>
      <c r="LL28" s="258"/>
      <c r="LM28" s="258"/>
      <c r="LN28" s="258"/>
      <c r="LO28" s="258"/>
      <c r="LP28" s="258"/>
      <c r="LQ28" s="258"/>
      <c r="LR28" s="258"/>
      <c r="LS28" s="258"/>
      <c r="LT28" s="258"/>
      <c r="LU28" s="258"/>
      <c r="LV28" s="258"/>
      <c r="LW28" s="258"/>
      <c r="LX28" s="258"/>
    </row>
    <row r="29" spans="1:336" s="14" customFormat="1">
      <c r="G29"/>
      <c r="H29"/>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row>
    <row r="30" spans="1:336" s="14" customFormat="1">
      <c r="G30"/>
      <c r="H30"/>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row>
    <row r="31" spans="1:336" s="14" customFormat="1">
      <c r="G31"/>
      <c r="H31"/>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row>
    <row r="32" spans="1:336" s="14" customFormat="1">
      <c r="G32"/>
      <c r="H32"/>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row>
    <row r="33" spans="7:336" s="14" customFormat="1">
      <c r="G33"/>
      <c r="H33"/>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row>
    <row r="34" spans="7:336" s="14" customFormat="1">
      <c r="G34"/>
      <c r="H34"/>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row>
    <row r="35" spans="7:336" s="14" customFormat="1">
      <c r="G35"/>
      <c r="H3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row>
  </sheetData>
  <mergeCells count="4">
    <mergeCell ref="A23:W23"/>
    <mergeCell ref="A24:W24"/>
    <mergeCell ref="A25:W25"/>
    <mergeCell ref="A26:W26"/>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L33"/>
  <sheetViews>
    <sheetView workbookViewId="0">
      <selection activeCell="J26" sqref="J26"/>
    </sheetView>
  </sheetViews>
  <sheetFormatPr defaultColWidth="8.85546875" defaultRowHeight="15"/>
  <cols>
    <col min="1" max="1" width="12.5703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1.42578125"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10</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16" customFormat="1">
      <c r="A3" s="417">
        <v>2021</v>
      </c>
      <c r="B3" s="469">
        <v>10</v>
      </c>
      <c r="C3" s="469">
        <v>0</v>
      </c>
      <c r="D3" s="410">
        <f>SUM(B3:C3)</f>
        <v>10</v>
      </c>
      <c r="E3" s="411">
        <f t="shared" ref="E3:E8" si="0">ROUND((O3/B3), 0)</f>
        <v>16</v>
      </c>
      <c r="F3" s="411">
        <f t="shared" ref="F3:F8" si="1">ROUND((O3/D3), 0)</f>
        <v>16</v>
      </c>
      <c r="G3" s="469">
        <v>10</v>
      </c>
      <c r="H3" s="469">
        <v>0</v>
      </c>
      <c r="I3" s="469">
        <v>120</v>
      </c>
      <c r="J3" s="469">
        <v>28</v>
      </c>
      <c r="K3" s="410">
        <f>SUM(I3:J3)</f>
        <v>148</v>
      </c>
      <c r="L3" s="469">
        <f>J3*0.36</f>
        <v>10.08</v>
      </c>
      <c r="M3" s="411">
        <f>SUM(I3+L3)</f>
        <v>130.08000000000001</v>
      </c>
      <c r="N3" s="397" t="s">
        <v>79</v>
      </c>
      <c r="O3" s="469">
        <v>164.75</v>
      </c>
      <c r="P3" s="413">
        <f>M4/O4</f>
        <v>0.93181818181818177</v>
      </c>
      <c r="Q3" s="469">
        <v>137</v>
      </c>
      <c r="R3" s="469">
        <v>9</v>
      </c>
      <c r="S3" s="414">
        <v>2104341</v>
      </c>
      <c r="T3" s="415">
        <v>3542176</v>
      </c>
      <c r="U3" s="414">
        <v>1698857</v>
      </c>
      <c r="V3" s="414">
        <v>1843319</v>
      </c>
      <c r="W3" s="335">
        <f>V3/T3</f>
        <v>0.52039170272736301</v>
      </c>
    </row>
    <row r="4" spans="1:220" s="416" customFormat="1">
      <c r="A4" s="417">
        <v>2020</v>
      </c>
      <c r="B4" s="469">
        <v>10</v>
      </c>
      <c r="C4" s="469">
        <v>2.5</v>
      </c>
      <c r="D4" s="410">
        <f>SUM(B4:C4)</f>
        <v>12.5</v>
      </c>
      <c r="E4" s="411">
        <f t="shared" si="0"/>
        <v>15</v>
      </c>
      <c r="F4" s="411">
        <f t="shared" si="1"/>
        <v>12</v>
      </c>
      <c r="G4" s="469">
        <v>10</v>
      </c>
      <c r="H4" s="469">
        <v>2.5</v>
      </c>
      <c r="I4" s="469">
        <v>131</v>
      </c>
      <c r="J4" s="469">
        <v>17</v>
      </c>
      <c r="K4" s="410">
        <f>SUM(I4:J4)</f>
        <v>148</v>
      </c>
      <c r="L4" s="469">
        <v>12.5</v>
      </c>
      <c r="M4" s="411">
        <f>(I4+L4)</f>
        <v>143.5</v>
      </c>
      <c r="N4" s="397" t="s">
        <v>79</v>
      </c>
      <c r="O4" s="469">
        <v>154</v>
      </c>
      <c r="P4" s="413">
        <f t="shared" ref="P4" si="2">M4/O4</f>
        <v>0.93181818181818177</v>
      </c>
      <c r="Q4" s="469">
        <v>74</v>
      </c>
      <c r="R4" s="469">
        <v>5</v>
      </c>
      <c r="S4" s="414">
        <v>2570425</v>
      </c>
      <c r="T4" s="415">
        <f>SUM(U4:V4)</f>
        <v>3422919</v>
      </c>
      <c r="U4" s="414">
        <v>1663994</v>
      </c>
      <c r="V4" s="414">
        <v>1758925</v>
      </c>
      <c r="W4" s="335">
        <f t="shared" ref="W4" si="3">V4/T4</f>
        <v>0.51386696559281708</v>
      </c>
    </row>
    <row r="5" spans="1:220" s="17" customFormat="1">
      <c r="A5" s="11">
        <v>2019</v>
      </c>
      <c r="B5" s="409">
        <v>10</v>
      </c>
      <c r="C5" s="409">
        <v>2.5</v>
      </c>
      <c r="D5" s="410">
        <f>SUM(B5:C5)</f>
        <v>12.5</v>
      </c>
      <c r="E5" s="411">
        <f t="shared" si="0"/>
        <v>14</v>
      </c>
      <c r="F5" s="411">
        <f t="shared" si="1"/>
        <v>11</v>
      </c>
      <c r="G5" s="409">
        <v>10</v>
      </c>
      <c r="H5" s="409">
        <v>2.5</v>
      </c>
      <c r="I5" s="409">
        <v>134</v>
      </c>
      <c r="J5" s="409">
        <v>14</v>
      </c>
      <c r="K5" s="410">
        <f>SUM(I5:J5)</f>
        <v>148</v>
      </c>
      <c r="L5" s="409">
        <v>12.25</v>
      </c>
      <c r="M5" s="411">
        <f>(I5+L5)</f>
        <v>146.25</v>
      </c>
      <c r="N5" s="397" t="s">
        <v>79</v>
      </c>
      <c r="O5" s="409">
        <v>141</v>
      </c>
      <c r="P5" s="413">
        <f t="shared" ref="P5" si="4">M5/O5</f>
        <v>1.0372340425531914</v>
      </c>
      <c r="Q5" s="409">
        <v>86</v>
      </c>
      <c r="R5" s="409">
        <v>5</v>
      </c>
      <c r="S5" s="414">
        <v>2601725</v>
      </c>
      <c r="T5" s="415">
        <f>SUM(U5:V5)</f>
        <v>3452117</v>
      </c>
      <c r="U5" s="414">
        <v>1559552</v>
      </c>
      <c r="V5" s="414">
        <v>1892565</v>
      </c>
      <c r="W5" s="335">
        <f t="shared" ref="W5" si="5">V5/T5</f>
        <v>0.54823315663982419</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11</v>
      </c>
      <c r="C6" s="20">
        <v>2.5</v>
      </c>
      <c r="D6" s="29">
        <f>SUM(B6:C6)</f>
        <v>13.5</v>
      </c>
      <c r="E6" s="172">
        <f t="shared" si="0"/>
        <v>16</v>
      </c>
      <c r="F6" s="172">
        <f t="shared" si="1"/>
        <v>13</v>
      </c>
      <c r="G6" s="20">
        <v>11</v>
      </c>
      <c r="H6" s="20">
        <v>2.5</v>
      </c>
      <c r="I6" s="20">
        <v>131</v>
      </c>
      <c r="J6" s="20">
        <v>20</v>
      </c>
      <c r="K6" s="29">
        <f t="shared" ref="K6" si="6">SUM(I6:J6)</f>
        <v>151</v>
      </c>
      <c r="L6" s="20">
        <v>12.25</v>
      </c>
      <c r="M6" s="172">
        <f>(I6+L6)</f>
        <v>143.25</v>
      </c>
      <c r="N6" s="397" t="s">
        <v>79</v>
      </c>
      <c r="O6" s="20">
        <v>173</v>
      </c>
      <c r="P6" s="183">
        <f>M6/O6</f>
        <v>0.8280346820809249</v>
      </c>
      <c r="Q6" s="20">
        <v>63</v>
      </c>
      <c r="R6" s="20">
        <v>7</v>
      </c>
      <c r="S6" s="24">
        <v>2501625</v>
      </c>
      <c r="T6" s="30">
        <f>SUM(U6:V6)</f>
        <v>1803793</v>
      </c>
      <c r="U6" s="24">
        <v>1642488</v>
      </c>
      <c r="V6" s="24">
        <v>161305</v>
      </c>
      <c r="W6" s="185">
        <f>V6/T6</f>
        <v>8.9425449594271622E-2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12</v>
      </c>
      <c r="C7" s="20">
        <v>2.5</v>
      </c>
      <c r="D7" s="34">
        <f>SUM(B7:C7)</f>
        <v>14.5</v>
      </c>
      <c r="E7" s="34">
        <f t="shared" si="0"/>
        <v>15</v>
      </c>
      <c r="F7" s="34">
        <f t="shared" si="1"/>
        <v>12</v>
      </c>
      <c r="G7" s="20">
        <v>12</v>
      </c>
      <c r="H7" s="20">
        <v>2.5</v>
      </c>
      <c r="I7" s="20">
        <v>128</v>
      </c>
      <c r="J7" s="20">
        <v>18</v>
      </c>
      <c r="K7" s="34">
        <f>SUM(I7:J7)</f>
        <v>146</v>
      </c>
      <c r="L7" s="20">
        <v>10.8</v>
      </c>
      <c r="M7" s="36">
        <f>(I7+L7)</f>
        <v>138.80000000000001</v>
      </c>
      <c r="N7" s="11" t="s">
        <v>79</v>
      </c>
      <c r="O7" s="344">
        <v>180</v>
      </c>
      <c r="P7" s="183">
        <f t="shared" ref="P7:P22" si="7">M7/O7</f>
        <v>0.77111111111111119</v>
      </c>
      <c r="Q7" s="20">
        <v>75</v>
      </c>
      <c r="R7" s="20">
        <v>1</v>
      </c>
      <c r="S7" s="300">
        <v>2403675</v>
      </c>
      <c r="T7" s="35">
        <f>SUM(U7:V7)</f>
        <v>3165157</v>
      </c>
      <c r="U7" s="341">
        <v>1667345</v>
      </c>
      <c r="V7" s="24">
        <v>1497812</v>
      </c>
      <c r="W7" s="185">
        <f t="shared" ref="W7:W22" si="8">V7/T7</f>
        <v>0.47321886402475455</v>
      </c>
    </row>
    <row r="8" spans="1:220" s="93" customFormat="1">
      <c r="A8" s="143">
        <v>2016</v>
      </c>
      <c r="B8" s="63">
        <v>12</v>
      </c>
      <c r="C8" s="63">
        <v>2.5</v>
      </c>
      <c r="D8" s="81">
        <f>B8+C8</f>
        <v>14.5</v>
      </c>
      <c r="E8" s="82">
        <f t="shared" si="0"/>
        <v>17</v>
      </c>
      <c r="F8" s="82">
        <f t="shared" si="1"/>
        <v>14</v>
      </c>
      <c r="G8" s="63">
        <v>12</v>
      </c>
      <c r="H8" s="63">
        <v>2.5</v>
      </c>
      <c r="I8" s="63">
        <v>144</v>
      </c>
      <c r="J8" s="63">
        <v>22</v>
      </c>
      <c r="K8" s="81">
        <f>I8+J8</f>
        <v>166</v>
      </c>
      <c r="L8" s="63">
        <v>12</v>
      </c>
      <c r="M8" s="82">
        <f>I8+L8</f>
        <v>156</v>
      </c>
      <c r="N8" s="62" t="s">
        <v>79</v>
      </c>
      <c r="O8" s="63">
        <v>198</v>
      </c>
      <c r="P8" s="183">
        <f t="shared" si="7"/>
        <v>0.78787878787878785</v>
      </c>
      <c r="Q8" s="63">
        <v>89</v>
      </c>
      <c r="R8" s="63">
        <v>1</v>
      </c>
      <c r="S8" s="64">
        <v>2305543</v>
      </c>
      <c r="T8" s="85">
        <f>SUM(U8:V8)</f>
        <v>2943681</v>
      </c>
      <c r="U8" s="64">
        <v>1600896</v>
      </c>
      <c r="V8" s="64">
        <v>1342785</v>
      </c>
      <c r="W8" s="185">
        <f t="shared" si="8"/>
        <v>0.45615846282256806</v>
      </c>
    </row>
    <row r="9" spans="1:220" s="105" customFormat="1">
      <c r="A9" s="90">
        <v>2015</v>
      </c>
      <c r="B9" s="91">
        <v>12</v>
      </c>
      <c r="C9" s="91">
        <v>2.75</v>
      </c>
      <c r="D9" s="81">
        <v>14.75</v>
      </c>
      <c r="E9" s="81">
        <v>15.9</v>
      </c>
      <c r="F9" s="81">
        <v>12.9</v>
      </c>
      <c r="G9" s="111"/>
      <c r="H9" s="111"/>
      <c r="I9" s="91">
        <v>147</v>
      </c>
      <c r="J9" s="91">
        <v>26</v>
      </c>
      <c r="K9" s="81">
        <v>173</v>
      </c>
      <c r="L9" s="91">
        <v>13</v>
      </c>
      <c r="M9" s="81">
        <v>159.5</v>
      </c>
      <c r="N9" s="62" t="s">
        <v>79</v>
      </c>
      <c r="O9" s="91">
        <v>191</v>
      </c>
      <c r="P9" s="183">
        <f t="shared" si="7"/>
        <v>0.83507853403141363</v>
      </c>
      <c r="Q9" s="91">
        <v>104</v>
      </c>
      <c r="R9" s="91">
        <v>1</v>
      </c>
      <c r="S9" s="102">
        <v>2164826</v>
      </c>
      <c r="T9" s="103">
        <v>2971905</v>
      </c>
      <c r="U9" s="102">
        <v>1631591</v>
      </c>
      <c r="V9" s="102">
        <v>1340314</v>
      </c>
      <c r="W9" s="185">
        <f t="shared" si="8"/>
        <v>0.45099490057723918</v>
      </c>
    </row>
    <row r="10" spans="1:220" s="105" customFormat="1">
      <c r="A10" s="90">
        <v>2014</v>
      </c>
      <c r="B10" s="91">
        <v>13</v>
      </c>
      <c r="C10" s="91">
        <v>3.25</v>
      </c>
      <c r="D10" s="81">
        <f>B10+C10</f>
        <v>16.25</v>
      </c>
      <c r="E10" s="82">
        <f t="shared" ref="E10:E22" si="9">ROUND((O10/B10), 0)</f>
        <v>16</v>
      </c>
      <c r="F10" s="82">
        <f t="shared" ref="F10:F22" si="10">ROUND((O10/D10), 0)</f>
        <v>13</v>
      </c>
      <c r="G10" s="111"/>
      <c r="H10" s="111"/>
      <c r="I10" s="91">
        <v>159</v>
      </c>
      <c r="J10" s="91">
        <v>34</v>
      </c>
      <c r="K10" s="81">
        <f>I10+J10</f>
        <v>193</v>
      </c>
      <c r="L10" s="91">
        <v>20</v>
      </c>
      <c r="M10" s="82">
        <f>I10+L10</f>
        <v>179</v>
      </c>
      <c r="N10" s="62" t="s">
        <v>79</v>
      </c>
      <c r="O10" s="91">
        <v>210</v>
      </c>
      <c r="P10" s="183">
        <f t="shared" si="7"/>
        <v>0.85238095238095235</v>
      </c>
      <c r="Q10" s="91">
        <v>82</v>
      </c>
      <c r="R10" s="91">
        <v>4</v>
      </c>
      <c r="S10" s="92">
        <v>2104905</v>
      </c>
      <c r="T10" s="85">
        <f t="shared" ref="T10:T22" si="11">SUM(U10:V10)</f>
        <v>2107621</v>
      </c>
      <c r="U10" s="92">
        <v>1578742</v>
      </c>
      <c r="V10" s="92">
        <v>528879</v>
      </c>
      <c r="W10" s="185">
        <f t="shared" si="8"/>
        <v>0.2509364824131094</v>
      </c>
    </row>
    <row r="11" spans="1:220" s="71" customFormat="1">
      <c r="A11" s="90">
        <v>2013</v>
      </c>
      <c r="B11" s="361">
        <v>12</v>
      </c>
      <c r="C11" s="361">
        <v>1.25</v>
      </c>
      <c r="D11" s="108">
        <f>B11+C11</f>
        <v>13.25</v>
      </c>
      <c r="E11" s="109">
        <f t="shared" si="9"/>
        <v>18</v>
      </c>
      <c r="F11" s="109">
        <f t="shared" si="10"/>
        <v>16</v>
      </c>
      <c r="G11" s="113"/>
      <c r="H11" s="113"/>
      <c r="I11" s="361">
        <v>166</v>
      </c>
      <c r="J11" s="361">
        <v>39</v>
      </c>
      <c r="K11" s="108">
        <f>I11+J11</f>
        <v>205</v>
      </c>
      <c r="L11" s="361">
        <v>20.25</v>
      </c>
      <c r="M11" s="109">
        <f>I11+L11</f>
        <v>186.25</v>
      </c>
      <c r="N11" s="62" t="s">
        <v>79</v>
      </c>
      <c r="O11" s="361">
        <v>214.75</v>
      </c>
      <c r="P11" s="183">
        <f t="shared" si="7"/>
        <v>0.86728754365541327</v>
      </c>
      <c r="Q11" s="361">
        <v>84</v>
      </c>
      <c r="R11" s="361">
        <v>6</v>
      </c>
      <c r="S11" s="112">
        <v>2083247</v>
      </c>
      <c r="T11" s="110">
        <f t="shared" si="11"/>
        <v>2079866</v>
      </c>
      <c r="U11" s="112">
        <v>1706454</v>
      </c>
      <c r="V11" s="112">
        <v>373412</v>
      </c>
      <c r="W11" s="185">
        <f t="shared" si="8"/>
        <v>0.17953656629802112</v>
      </c>
    </row>
    <row r="12" spans="1:220" s="71" customFormat="1">
      <c r="A12" s="90">
        <v>2012</v>
      </c>
      <c r="B12" s="361">
        <v>11</v>
      </c>
      <c r="C12" s="361">
        <v>2.5</v>
      </c>
      <c r="D12" s="108">
        <f>B12+C12</f>
        <v>13.5</v>
      </c>
      <c r="E12" s="109">
        <f t="shared" si="9"/>
        <v>18</v>
      </c>
      <c r="F12" s="109">
        <f t="shared" si="10"/>
        <v>15</v>
      </c>
      <c r="G12" s="113"/>
      <c r="H12" s="113"/>
      <c r="I12" s="361">
        <v>155</v>
      </c>
      <c r="J12" s="361">
        <v>36</v>
      </c>
      <c r="K12" s="108">
        <f>I12+J12</f>
        <v>191</v>
      </c>
      <c r="L12" s="361">
        <v>19.25</v>
      </c>
      <c r="M12" s="109">
        <f>I12+L12</f>
        <v>174.25</v>
      </c>
      <c r="N12" s="62" t="s">
        <v>79</v>
      </c>
      <c r="O12" s="361">
        <v>202.5</v>
      </c>
      <c r="P12" s="183">
        <f t="shared" si="7"/>
        <v>0.86049382716049383</v>
      </c>
      <c r="Q12" s="361">
        <v>74</v>
      </c>
      <c r="R12" s="361">
        <v>4</v>
      </c>
      <c r="S12" s="112">
        <v>2141161</v>
      </c>
      <c r="T12" s="110">
        <f t="shared" si="11"/>
        <v>2143819</v>
      </c>
      <c r="U12" s="112">
        <v>1704315</v>
      </c>
      <c r="V12" s="112">
        <v>439504</v>
      </c>
      <c r="W12" s="185">
        <f t="shared" si="8"/>
        <v>0.2050098445810957</v>
      </c>
    </row>
    <row r="13" spans="1:220" s="71" customFormat="1">
      <c r="A13" s="90" t="s">
        <v>81</v>
      </c>
      <c r="B13" s="361">
        <v>11</v>
      </c>
      <c r="C13" s="361">
        <v>3.33</v>
      </c>
      <c r="D13" s="108">
        <f t="shared" ref="D13:D22" si="12">SUM(B13:C13)</f>
        <v>14.33</v>
      </c>
      <c r="E13" s="109">
        <f t="shared" si="9"/>
        <v>21</v>
      </c>
      <c r="F13" s="109">
        <f t="shared" si="10"/>
        <v>16</v>
      </c>
      <c r="G13" s="113"/>
      <c r="H13" s="113"/>
      <c r="I13" s="361">
        <v>157</v>
      </c>
      <c r="J13" s="361">
        <v>25</v>
      </c>
      <c r="K13" s="108">
        <f t="shared" ref="K13:K22" si="13">SUM(I13:J13)</f>
        <v>182</v>
      </c>
      <c r="L13" s="361">
        <v>14</v>
      </c>
      <c r="M13" s="109">
        <f t="shared" ref="M13:M22" si="14">(I13+L13)</f>
        <v>171</v>
      </c>
      <c r="N13" s="94" t="s">
        <v>79</v>
      </c>
      <c r="O13" s="361">
        <v>231.75</v>
      </c>
      <c r="P13" s="183">
        <f t="shared" si="7"/>
        <v>0.73786407766990292</v>
      </c>
      <c r="Q13" s="361">
        <v>74</v>
      </c>
      <c r="R13" s="361">
        <v>7</v>
      </c>
      <c r="S13" s="112">
        <v>1888785</v>
      </c>
      <c r="T13" s="110">
        <f t="shared" si="11"/>
        <v>1893378</v>
      </c>
      <c r="U13" s="112">
        <v>1499376</v>
      </c>
      <c r="V13" s="112">
        <v>394002</v>
      </c>
      <c r="W13" s="185">
        <f t="shared" si="8"/>
        <v>0.20809473861003983</v>
      </c>
    </row>
    <row r="14" spans="1:220" s="71" customFormat="1">
      <c r="A14" s="90" t="s">
        <v>82</v>
      </c>
      <c r="B14" s="361">
        <v>9</v>
      </c>
      <c r="C14" s="361">
        <v>3</v>
      </c>
      <c r="D14" s="108">
        <f t="shared" si="12"/>
        <v>12</v>
      </c>
      <c r="E14" s="109">
        <f t="shared" si="9"/>
        <v>24</v>
      </c>
      <c r="F14" s="109">
        <f t="shared" si="10"/>
        <v>18</v>
      </c>
      <c r="G14" s="113"/>
      <c r="H14" s="113"/>
      <c r="I14" s="361">
        <v>145</v>
      </c>
      <c r="J14" s="361">
        <v>29</v>
      </c>
      <c r="K14" s="108">
        <f t="shared" si="13"/>
        <v>174</v>
      </c>
      <c r="L14" s="361">
        <v>15.5</v>
      </c>
      <c r="M14" s="109">
        <f t="shared" si="14"/>
        <v>160.5</v>
      </c>
      <c r="N14" s="94" t="s">
        <v>79</v>
      </c>
      <c r="O14" s="361">
        <v>219.36</v>
      </c>
      <c r="P14" s="183">
        <f t="shared" si="7"/>
        <v>0.73167396061269141</v>
      </c>
      <c r="Q14" s="361">
        <v>74</v>
      </c>
      <c r="R14" s="361">
        <v>1</v>
      </c>
      <c r="S14" s="112">
        <v>1886155</v>
      </c>
      <c r="T14" s="110">
        <f t="shared" si="11"/>
        <v>1884189</v>
      </c>
      <c r="U14" s="112">
        <v>1432918</v>
      </c>
      <c r="V14" s="112">
        <v>451271</v>
      </c>
      <c r="W14" s="185">
        <f t="shared" si="8"/>
        <v>0.23950410494913196</v>
      </c>
    </row>
    <row r="15" spans="1:220" s="71" customFormat="1">
      <c r="A15" s="90" t="s">
        <v>83</v>
      </c>
      <c r="B15" s="361">
        <v>9</v>
      </c>
      <c r="C15" s="361">
        <v>2.66</v>
      </c>
      <c r="D15" s="108">
        <f t="shared" si="12"/>
        <v>11.66</v>
      </c>
      <c r="E15" s="109">
        <f t="shared" si="9"/>
        <v>23</v>
      </c>
      <c r="F15" s="109">
        <f t="shared" si="10"/>
        <v>18</v>
      </c>
      <c r="G15" s="113"/>
      <c r="H15" s="113"/>
      <c r="I15" s="361">
        <v>128</v>
      </c>
      <c r="J15" s="361">
        <v>32</v>
      </c>
      <c r="K15" s="108">
        <f t="shared" si="13"/>
        <v>160</v>
      </c>
      <c r="L15" s="361">
        <v>19.25</v>
      </c>
      <c r="M15" s="109">
        <f t="shared" si="14"/>
        <v>147.25</v>
      </c>
      <c r="N15" s="94" t="s">
        <v>79</v>
      </c>
      <c r="O15" s="361">
        <v>205.75</v>
      </c>
      <c r="P15" s="183">
        <f t="shared" si="7"/>
        <v>0.71567436208991497</v>
      </c>
      <c r="Q15" s="361">
        <v>62</v>
      </c>
      <c r="R15" s="361">
        <v>5</v>
      </c>
      <c r="S15" s="112">
        <v>1818026</v>
      </c>
      <c r="T15" s="110">
        <f t="shared" si="11"/>
        <v>1817059</v>
      </c>
      <c r="U15" s="112">
        <v>1388575</v>
      </c>
      <c r="V15" s="112">
        <v>428484</v>
      </c>
      <c r="W15" s="185">
        <f t="shared" si="8"/>
        <v>0.2358118255928949</v>
      </c>
    </row>
    <row r="16" spans="1:220" s="71" customFormat="1">
      <c r="A16" s="90" t="s">
        <v>84</v>
      </c>
      <c r="B16" s="361">
        <v>10</v>
      </c>
      <c r="C16" s="361">
        <v>2.25</v>
      </c>
      <c r="D16" s="108">
        <f t="shared" si="12"/>
        <v>12.25</v>
      </c>
      <c r="E16" s="109">
        <f t="shared" si="9"/>
        <v>19</v>
      </c>
      <c r="F16" s="109">
        <f t="shared" si="10"/>
        <v>15</v>
      </c>
      <c r="G16" s="113"/>
      <c r="H16" s="113"/>
      <c r="I16" s="361">
        <v>123</v>
      </c>
      <c r="J16" s="361">
        <v>32</v>
      </c>
      <c r="K16" s="108">
        <f t="shared" si="13"/>
        <v>155</v>
      </c>
      <c r="L16" s="361">
        <v>16.5</v>
      </c>
      <c r="M16" s="109">
        <f t="shared" si="14"/>
        <v>139.5</v>
      </c>
      <c r="N16" s="94" t="s">
        <v>79</v>
      </c>
      <c r="O16" s="361">
        <v>189</v>
      </c>
      <c r="P16" s="183">
        <f t="shared" si="7"/>
        <v>0.73809523809523814</v>
      </c>
      <c r="Q16" s="361">
        <v>71</v>
      </c>
      <c r="R16" s="361">
        <v>5</v>
      </c>
      <c r="S16" s="112">
        <v>2112935</v>
      </c>
      <c r="T16" s="110">
        <f t="shared" si="11"/>
        <v>2111444</v>
      </c>
      <c r="U16" s="112">
        <v>1385565</v>
      </c>
      <c r="V16" s="112">
        <v>725879</v>
      </c>
      <c r="W16" s="185">
        <f t="shared" si="8"/>
        <v>0.34378321186827593</v>
      </c>
    </row>
    <row r="17" spans="1:23" s="71" customFormat="1">
      <c r="A17" s="90">
        <v>2007</v>
      </c>
      <c r="B17" s="361">
        <v>10</v>
      </c>
      <c r="C17" s="361">
        <v>2.25</v>
      </c>
      <c r="D17" s="194">
        <f t="shared" si="12"/>
        <v>12.25</v>
      </c>
      <c r="E17" s="109">
        <f t="shared" si="9"/>
        <v>19</v>
      </c>
      <c r="F17" s="109">
        <f t="shared" si="10"/>
        <v>15</v>
      </c>
      <c r="G17" s="113"/>
      <c r="H17" s="113"/>
      <c r="I17" s="361">
        <v>119</v>
      </c>
      <c r="J17" s="361">
        <v>39</v>
      </c>
      <c r="K17" s="194">
        <f t="shared" si="13"/>
        <v>158</v>
      </c>
      <c r="L17" s="361">
        <v>19.25</v>
      </c>
      <c r="M17" s="109">
        <f t="shared" si="14"/>
        <v>138.25</v>
      </c>
      <c r="N17" s="90" t="s">
        <v>79</v>
      </c>
      <c r="O17" s="361">
        <v>185.25</v>
      </c>
      <c r="P17" s="183">
        <f t="shared" si="7"/>
        <v>0.74628879892037792</v>
      </c>
      <c r="Q17" s="361">
        <v>61</v>
      </c>
      <c r="R17" s="361">
        <v>3</v>
      </c>
      <c r="S17" s="192">
        <v>2807268</v>
      </c>
      <c r="T17" s="110">
        <f t="shared" si="11"/>
        <v>2817236</v>
      </c>
      <c r="U17" s="192">
        <v>1415037</v>
      </c>
      <c r="V17" s="192">
        <v>1402199</v>
      </c>
      <c r="W17" s="185">
        <f t="shared" si="8"/>
        <v>0.4977215256371848</v>
      </c>
    </row>
    <row r="18" spans="1:23" s="71" customFormat="1">
      <c r="A18" s="90">
        <v>2006</v>
      </c>
      <c r="B18" s="361">
        <v>10</v>
      </c>
      <c r="C18" s="361">
        <v>2</v>
      </c>
      <c r="D18" s="194">
        <f t="shared" si="12"/>
        <v>12</v>
      </c>
      <c r="E18" s="109">
        <f t="shared" si="9"/>
        <v>18</v>
      </c>
      <c r="F18" s="109">
        <f t="shared" si="10"/>
        <v>15</v>
      </c>
      <c r="G18" s="113"/>
      <c r="H18" s="113"/>
      <c r="I18" s="361">
        <v>122</v>
      </c>
      <c r="J18" s="361">
        <v>33</v>
      </c>
      <c r="K18" s="194">
        <f t="shared" si="13"/>
        <v>155</v>
      </c>
      <c r="L18" s="361">
        <v>18</v>
      </c>
      <c r="M18" s="109">
        <f t="shared" si="14"/>
        <v>140</v>
      </c>
      <c r="N18" s="90" t="s">
        <v>79</v>
      </c>
      <c r="O18" s="361">
        <v>179</v>
      </c>
      <c r="P18" s="183">
        <f t="shared" si="7"/>
        <v>0.78212290502793291</v>
      </c>
      <c r="Q18" s="361">
        <v>65</v>
      </c>
      <c r="R18" s="361">
        <v>1</v>
      </c>
      <c r="S18" s="192">
        <v>2355615</v>
      </c>
      <c r="T18" s="110">
        <f t="shared" si="11"/>
        <v>2355100</v>
      </c>
      <c r="U18" s="192">
        <v>1344036</v>
      </c>
      <c r="V18" s="192">
        <v>1011064</v>
      </c>
      <c r="W18" s="185">
        <f t="shared" si="8"/>
        <v>0.42930830962591821</v>
      </c>
    </row>
    <row r="19" spans="1:23" s="71" customFormat="1">
      <c r="A19" s="90">
        <v>2005</v>
      </c>
      <c r="B19" s="361">
        <v>10</v>
      </c>
      <c r="C19" s="361">
        <v>1</v>
      </c>
      <c r="D19" s="194">
        <f t="shared" si="12"/>
        <v>11</v>
      </c>
      <c r="E19" s="109">
        <f t="shared" si="9"/>
        <v>16</v>
      </c>
      <c r="F19" s="109">
        <f t="shared" si="10"/>
        <v>14</v>
      </c>
      <c r="G19" s="113"/>
      <c r="H19" s="113"/>
      <c r="I19" s="361">
        <v>119</v>
      </c>
      <c r="J19" s="361">
        <v>30</v>
      </c>
      <c r="K19" s="194">
        <f t="shared" si="13"/>
        <v>149</v>
      </c>
      <c r="L19" s="361">
        <v>17</v>
      </c>
      <c r="M19" s="109">
        <f t="shared" si="14"/>
        <v>136</v>
      </c>
      <c r="N19" s="90" t="s">
        <v>79</v>
      </c>
      <c r="O19" s="361">
        <v>155</v>
      </c>
      <c r="P19" s="183">
        <f t="shared" si="7"/>
        <v>0.8774193548387097</v>
      </c>
      <c r="Q19" s="361">
        <v>51</v>
      </c>
      <c r="R19" s="361">
        <v>1</v>
      </c>
      <c r="S19" s="192">
        <v>1597891</v>
      </c>
      <c r="T19" s="110">
        <f t="shared" si="11"/>
        <v>1599736</v>
      </c>
      <c r="U19" s="192">
        <v>1316544</v>
      </c>
      <c r="V19" s="192">
        <v>283192</v>
      </c>
      <c r="W19" s="185">
        <f t="shared" si="8"/>
        <v>0.17702420899448409</v>
      </c>
    </row>
    <row r="20" spans="1:23" s="71" customFormat="1">
      <c r="A20" s="90">
        <v>2004</v>
      </c>
      <c r="B20" s="195">
        <v>9</v>
      </c>
      <c r="C20" s="195">
        <v>1</v>
      </c>
      <c r="D20" s="194">
        <f t="shared" si="12"/>
        <v>10</v>
      </c>
      <c r="E20" s="109">
        <f t="shared" si="9"/>
        <v>19</v>
      </c>
      <c r="F20" s="109">
        <f t="shared" si="10"/>
        <v>17</v>
      </c>
      <c r="G20" s="113"/>
      <c r="H20" s="113"/>
      <c r="I20" s="195">
        <v>110</v>
      </c>
      <c r="J20" s="195">
        <v>34</v>
      </c>
      <c r="K20" s="194">
        <f t="shared" si="13"/>
        <v>144</v>
      </c>
      <c r="L20" s="195">
        <v>17</v>
      </c>
      <c r="M20" s="109">
        <f t="shared" si="14"/>
        <v>127</v>
      </c>
      <c r="N20" s="90" t="s">
        <v>79</v>
      </c>
      <c r="O20" s="195">
        <v>169</v>
      </c>
      <c r="P20" s="183">
        <f t="shared" si="7"/>
        <v>0.75147928994082835</v>
      </c>
      <c r="Q20" s="195">
        <v>76</v>
      </c>
      <c r="R20" s="361">
        <v>0</v>
      </c>
      <c r="S20" s="192">
        <v>931554</v>
      </c>
      <c r="T20" s="110">
        <f t="shared" si="11"/>
        <v>938308</v>
      </c>
      <c r="U20" s="192">
        <v>851508</v>
      </c>
      <c r="V20" s="192">
        <v>86800</v>
      </c>
      <c r="W20" s="185">
        <f t="shared" si="8"/>
        <v>9.2506938020351523E-2</v>
      </c>
    </row>
    <row r="21" spans="1:23" s="71" customFormat="1">
      <c r="A21" s="90">
        <v>2003</v>
      </c>
      <c r="B21" s="195">
        <v>8</v>
      </c>
      <c r="C21" s="195">
        <v>1</v>
      </c>
      <c r="D21" s="194">
        <f t="shared" si="12"/>
        <v>9</v>
      </c>
      <c r="E21" s="109">
        <f t="shared" si="9"/>
        <v>22</v>
      </c>
      <c r="F21" s="109">
        <f t="shared" si="10"/>
        <v>19</v>
      </c>
      <c r="G21" s="113"/>
      <c r="H21" s="113"/>
      <c r="I21" s="195">
        <v>121</v>
      </c>
      <c r="J21" s="195">
        <v>27</v>
      </c>
      <c r="K21" s="194">
        <f t="shared" si="13"/>
        <v>148</v>
      </c>
      <c r="L21" s="195">
        <v>11</v>
      </c>
      <c r="M21" s="109">
        <f t="shared" si="14"/>
        <v>132</v>
      </c>
      <c r="N21" s="90" t="s">
        <v>79</v>
      </c>
      <c r="O21" s="195">
        <v>173</v>
      </c>
      <c r="P21" s="183">
        <f t="shared" si="7"/>
        <v>0.76300578034682076</v>
      </c>
      <c r="Q21" s="195">
        <v>52</v>
      </c>
      <c r="R21" s="361">
        <v>0</v>
      </c>
      <c r="S21" s="192">
        <v>904268</v>
      </c>
      <c r="T21" s="110">
        <f t="shared" si="11"/>
        <v>889299</v>
      </c>
      <c r="U21" s="192">
        <v>824899</v>
      </c>
      <c r="V21" s="192">
        <v>64400</v>
      </c>
      <c r="W21" s="185">
        <f t="shared" si="8"/>
        <v>7.2416588796344092E-2</v>
      </c>
    </row>
    <row r="22" spans="1:23" s="71" customFormat="1">
      <c r="A22" s="90">
        <v>2002</v>
      </c>
      <c r="B22" s="195">
        <v>7</v>
      </c>
      <c r="C22" s="195">
        <v>0.75</v>
      </c>
      <c r="D22" s="194">
        <f t="shared" si="12"/>
        <v>7.75</v>
      </c>
      <c r="E22" s="109">
        <f t="shared" si="9"/>
        <v>26</v>
      </c>
      <c r="F22" s="109">
        <f t="shared" si="10"/>
        <v>23</v>
      </c>
      <c r="G22" s="113"/>
      <c r="H22" s="113"/>
      <c r="I22" s="195">
        <v>132</v>
      </c>
      <c r="J22" s="195">
        <v>27</v>
      </c>
      <c r="K22" s="194">
        <f t="shared" si="13"/>
        <v>159</v>
      </c>
      <c r="L22" s="195">
        <f>ROUND(11.4, 0)</f>
        <v>11</v>
      </c>
      <c r="M22" s="109">
        <f t="shared" si="14"/>
        <v>143</v>
      </c>
      <c r="N22" s="90" t="s">
        <v>79</v>
      </c>
      <c r="O22" s="195">
        <f>ROUND(178.9, 0)</f>
        <v>179</v>
      </c>
      <c r="P22" s="183">
        <f t="shared" si="7"/>
        <v>0.7988826815642458</v>
      </c>
      <c r="Q22" s="195">
        <v>77</v>
      </c>
      <c r="R22" s="361">
        <v>4</v>
      </c>
      <c r="S22" s="192">
        <v>804618</v>
      </c>
      <c r="T22" s="110">
        <f t="shared" si="11"/>
        <v>788879</v>
      </c>
      <c r="U22" s="192">
        <v>724479</v>
      </c>
      <c r="V22" s="192">
        <v>64400</v>
      </c>
      <c r="W22" s="185">
        <f t="shared" si="8"/>
        <v>8.1634826126693705E-2</v>
      </c>
    </row>
    <row r="23" spans="1:23" s="14" customFormat="1"/>
    <row r="24" spans="1:23" s="14" customFormat="1"/>
    <row r="25" spans="1:23" s="14" customFormat="1"/>
    <row r="26" spans="1:23" s="14" customFormat="1"/>
    <row r="27" spans="1:23" s="14" customFormat="1"/>
    <row r="28" spans="1:23" s="14" customFormat="1"/>
    <row r="29" spans="1:23" s="14" customFormat="1"/>
    <row r="30" spans="1:23" s="14" customFormat="1"/>
    <row r="31" spans="1:23" s="14" customFormat="1"/>
    <row r="32" spans="1:23" s="14" customFormat="1"/>
    <row r="33" s="14" customFormat="1"/>
  </sheetData>
  <printOptions headings="1" gridLines="1"/>
  <pageMargins left="0.5" right="0.5" top="0.5" bottom="0.5" header="0" footer="0"/>
  <pageSetup paperSize="5" scale="67"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L35"/>
  <sheetViews>
    <sheetView workbookViewId="0">
      <selection activeCell="I30" sqref="I30"/>
    </sheetView>
  </sheetViews>
  <sheetFormatPr defaultColWidth="8.85546875" defaultRowHeight="15"/>
  <cols>
    <col min="1" max="1" width="10.85546875" customWidth="1"/>
    <col min="2" max="2" width="8.42578125"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1406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 min="24" max="59" width="8.85546875" style="376"/>
  </cols>
  <sheetData>
    <row r="1" spans="1:220" s="1" customFormat="1" ht="18.75">
      <c r="A1" s="1" t="s">
        <v>1</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row>
    <row r="3" spans="1:220" s="3" customFormat="1">
      <c r="A3" s="417">
        <v>2021</v>
      </c>
      <c r="B3" s="409">
        <v>29</v>
      </c>
      <c r="C3" s="409">
        <v>35.67</v>
      </c>
      <c r="D3" s="410">
        <f>SUM(B3:C3)</f>
        <v>64.67</v>
      </c>
      <c r="E3" s="411">
        <f t="shared" ref="E3" si="0">ROUND((O3/B3), 0)</f>
        <v>35</v>
      </c>
      <c r="F3" s="411">
        <f t="shared" ref="F3" si="1">ROUND((O3/D3), 0)</f>
        <v>15</v>
      </c>
      <c r="G3" s="409">
        <v>14</v>
      </c>
      <c r="H3" s="409">
        <v>2.75</v>
      </c>
      <c r="I3" s="409">
        <v>106</v>
      </c>
      <c r="J3" s="409">
        <v>163</v>
      </c>
      <c r="K3" s="410">
        <f t="shared" ref="K3" si="2">SUM(I3:J3)</f>
        <v>269</v>
      </c>
      <c r="L3" s="409">
        <v>77.22</v>
      </c>
      <c r="M3" s="411">
        <f>(I3+L3)</f>
        <v>183.22</v>
      </c>
      <c r="N3" s="409">
        <v>59</v>
      </c>
      <c r="O3" s="409">
        <v>1001</v>
      </c>
      <c r="P3" s="413">
        <f t="shared" ref="P3" si="3">M3/O3</f>
        <v>0.18303696303696304</v>
      </c>
      <c r="Q3" s="409">
        <v>46</v>
      </c>
      <c r="R3" s="409">
        <v>342</v>
      </c>
      <c r="S3" s="414">
        <v>6653780</v>
      </c>
      <c r="T3" s="415">
        <f t="shared" ref="T3" si="4">SUM(U3:V3)</f>
        <v>8081609</v>
      </c>
      <c r="U3" s="414">
        <v>7291267</v>
      </c>
      <c r="V3" s="414">
        <v>790342</v>
      </c>
      <c r="W3" s="335">
        <f>V3/T3</f>
        <v>9.7795129657967869E-2</v>
      </c>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row>
    <row r="4" spans="1:220" s="3" customFormat="1">
      <c r="A4" s="417">
        <v>2020</v>
      </c>
      <c r="B4" s="409">
        <v>25</v>
      </c>
      <c r="C4" s="409">
        <v>33</v>
      </c>
      <c r="D4" s="410">
        <f>SUM(B4:C4)</f>
        <v>58</v>
      </c>
      <c r="E4" s="411">
        <f>ROUND((O4/B4), 0)</f>
        <v>39</v>
      </c>
      <c r="F4" s="411">
        <f>ROUND((O4/D4), 0)</f>
        <v>17</v>
      </c>
      <c r="G4" s="409">
        <v>13</v>
      </c>
      <c r="H4" s="409">
        <v>2.25</v>
      </c>
      <c r="I4" s="409">
        <v>57</v>
      </c>
      <c r="J4" s="409">
        <v>114</v>
      </c>
      <c r="K4" s="410">
        <f>SUM(I4:J4)</f>
        <v>171</v>
      </c>
      <c r="L4" s="409">
        <f>J4*0.36</f>
        <v>41.04</v>
      </c>
      <c r="M4" s="411">
        <f>(I4+L4)</f>
        <v>98.039999999999992</v>
      </c>
      <c r="N4" s="409">
        <f>(171-118)</f>
        <v>53</v>
      </c>
      <c r="O4" s="409">
        <v>969</v>
      </c>
      <c r="P4" s="413">
        <f t="shared" ref="P4" si="5">M4/O4</f>
        <v>0.10117647058823528</v>
      </c>
      <c r="Q4" s="409">
        <v>55</v>
      </c>
      <c r="R4" s="409">
        <f>1+3+17+200+122</f>
        <v>343</v>
      </c>
      <c r="S4" s="414">
        <v>4799634</v>
      </c>
      <c r="T4" s="415">
        <v>5261918</v>
      </c>
      <c r="U4" s="414">
        <v>4828117</v>
      </c>
      <c r="V4" s="414">
        <v>433801</v>
      </c>
      <c r="W4" s="335">
        <f>V4/T4</f>
        <v>8.2441611594859521E-2</v>
      </c>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row>
    <row r="5" spans="1:220" s="3" customFormat="1">
      <c r="A5" s="417">
        <v>2019</v>
      </c>
      <c r="B5" s="409">
        <v>24</v>
      </c>
      <c r="C5" s="409">
        <v>14.5</v>
      </c>
      <c r="D5" s="410">
        <f>SUM(B5:C5)</f>
        <v>38.5</v>
      </c>
      <c r="E5" s="411">
        <f>ROUND((O5/B5), 0)</f>
        <v>35</v>
      </c>
      <c r="F5" s="411">
        <f>ROUND((O5/D5), 0)</f>
        <v>22</v>
      </c>
      <c r="G5" s="409">
        <v>11</v>
      </c>
      <c r="H5" s="409">
        <v>4</v>
      </c>
      <c r="I5" s="409">
        <v>55</v>
      </c>
      <c r="J5" s="409">
        <v>101</v>
      </c>
      <c r="K5" s="410">
        <f>SUM(I5:J5)</f>
        <v>156</v>
      </c>
      <c r="L5" s="409">
        <v>37.15</v>
      </c>
      <c r="M5" s="411">
        <f>(I5+L5)</f>
        <v>92.15</v>
      </c>
      <c r="N5" s="409">
        <v>38</v>
      </c>
      <c r="O5" s="409">
        <v>842</v>
      </c>
      <c r="P5" s="413">
        <f>M5/O5</f>
        <v>0.10944180522565321</v>
      </c>
      <c r="Q5" s="409">
        <v>35</v>
      </c>
      <c r="R5" s="409">
        <v>337</v>
      </c>
      <c r="S5" s="414">
        <v>4340410</v>
      </c>
      <c r="T5" s="415">
        <f>SUM(U5:V5)</f>
        <v>5725468</v>
      </c>
      <c r="U5" s="414">
        <v>4719153</v>
      </c>
      <c r="V5" s="414">
        <v>1006315</v>
      </c>
      <c r="W5" s="335">
        <f>V5/T5</f>
        <v>0.17576117795086796</v>
      </c>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row>
    <row r="6" spans="1:220" s="17" customFormat="1">
      <c r="A6" s="33">
        <v>2018</v>
      </c>
      <c r="B6" s="20">
        <v>20</v>
      </c>
      <c r="C6" s="20">
        <v>21.25</v>
      </c>
      <c r="D6" s="29">
        <f>SUM(B6:C6)</f>
        <v>41.25</v>
      </c>
      <c r="E6" s="172">
        <f>ROUND((O6/B6), 0)</f>
        <v>35</v>
      </c>
      <c r="F6" s="172">
        <f>ROUND((O6/D6), 0)</f>
        <v>17</v>
      </c>
      <c r="G6" s="20">
        <v>7</v>
      </c>
      <c r="H6" s="20">
        <v>1.25</v>
      </c>
      <c r="I6" s="20">
        <v>43</v>
      </c>
      <c r="J6" s="20">
        <v>70</v>
      </c>
      <c r="K6" s="29">
        <f>SUM(I6:J6)</f>
        <v>113</v>
      </c>
      <c r="L6" s="20">
        <v>25.2</v>
      </c>
      <c r="M6" s="172">
        <f>(I6+L6)</f>
        <v>68.2</v>
      </c>
      <c r="N6" s="20">
        <v>18</v>
      </c>
      <c r="O6" s="20">
        <v>708</v>
      </c>
      <c r="P6" s="183">
        <f>M6/O6</f>
        <v>9.6327683615819212E-2</v>
      </c>
      <c r="Q6" s="20">
        <v>38</v>
      </c>
      <c r="R6" s="20">
        <v>186</v>
      </c>
      <c r="S6" s="24">
        <v>2696518</v>
      </c>
      <c r="T6" s="30">
        <f>SUM(U6:V6)</f>
        <v>3597692</v>
      </c>
      <c r="U6" s="24">
        <v>2678144</v>
      </c>
      <c r="V6" s="24">
        <v>919548</v>
      </c>
      <c r="W6" s="185">
        <f>V6/T6</f>
        <v>0.25559386406618467</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2" customFormat="1">
      <c r="A7" s="33">
        <v>2017</v>
      </c>
      <c r="B7" s="20">
        <v>8</v>
      </c>
      <c r="C7" s="20">
        <v>3.75</v>
      </c>
      <c r="D7" s="187">
        <f>B7+C7</f>
        <v>11.75</v>
      </c>
      <c r="E7" s="16">
        <f>ROUND((O7/B7), 0)</f>
        <v>48</v>
      </c>
      <c r="F7" s="16">
        <f>ROUND((O7/D7), 0)</f>
        <v>32</v>
      </c>
      <c r="G7" s="20">
        <v>6</v>
      </c>
      <c r="H7" s="20">
        <v>1</v>
      </c>
      <c r="I7" s="20">
        <v>50</v>
      </c>
      <c r="J7" s="20">
        <v>49</v>
      </c>
      <c r="K7" s="187">
        <f>SUM(I7:J7)</f>
        <v>99</v>
      </c>
      <c r="L7" s="20">
        <v>17.829999999999998</v>
      </c>
      <c r="M7" s="16">
        <f>I7+L7</f>
        <v>67.83</v>
      </c>
      <c r="N7" s="20">
        <v>13</v>
      </c>
      <c r="O7" s="20">
        <v>380.04</v>
      </c>
      <c r="P7" s="183">
        <f t="shared" ref="P7:P22" si="6">M7/O7</f>
        <v>0.17848121250394694</v>
      </c>
      <c r="Q7" s="20">
        <v>42</v>
      </c>
      <c r="R7" s="20">
        <v>123</v>
      </c>
      <c r="S7" s="21">
        <v>2263520</v>
      </c>
      <c r="T7" s="188">
        <f>SUM(U7:V7)</f>
        <v>2357744</v>
      </c>
      <c r="U7" s="21">
        <v>2110661</v>
      </c>
      <c r="V7" s="21">
        <v>247083</v>
      </c>
      <c r="W7" s="185">
        <f t="shared" ref="W7:W22" si="7">V7/T7</f>
        <v>0.10479636466045508</v>
      </c>
    </row>
    <row r="8" spans="1:220" s="70" customFormat="1">
      <c r="A8" s="95">
        <v>2016</v>
      </c>
      <c r="B8" s="63">
        <v>9</v>
      </c>
      <c r="C8" s="63">
        <v>7.25</v>
      </c>
      <c r="D8" s="81">
        <f>B8+C8</f>
        <v>16.25</v>
      </c>
      <c r="E8" s="82">
        <f>ROUND((O8/B8), 0)</f>
        <v>43</v>
      </c>
      <c r="F8" s="82">
        <f>ROUND((O8/D8), 0)</f>
        <v>24</v>
      </c>
      <c r="G8" s="63">
        <v>6</v>
      </c>
      <c r="H8" s="63">
        <v>5</v>
      </c>
      <c r="I8" s="63">
        <v>48</v>
      </c>
      <c r="J8" s="63">
        <v>33</v>
      </c>
      <c r="K8" s="81">
        <f>SUM(I8:J8)</f>
        <v>81</v>
      </c>
      <c r="L8" s="63">
        <v>13.5</v>
      </c>
      <c r="M8" s="82">
        <f>I8+L8</f>
        <v>61.5</v>
      </c>
      <c r="N8" s="63">
        <v>16</v>
      </c>
      <c r="O8" s="63">
        <v>390.7</v>
      </c>
      <c r="P8" s="183">
        <f t="shared" si="6"/>
        <v>0.15740977732275405</v>
      </c>
      <c r="Q8" s="63">
        <v>52</v>
      </c>
      <c r="R8" s="63">
        <v>119</v>
      </c>
      <c r="S8" s="69">
        <v>2031001</v>
      </c>
      <c r="T8" s="85">
        <f>SUM(U8:V8)</f>
        <v>2047472</v>
      </c>
      <c r="U8" s="69">
        <v>1455810</v>
      </c>
      <c r="V8" s="69">
        <v>591662</v>
      </c>
      <c r="W8" s="185">
        <f t="shared" si="7"/>
        <v>0.2889719615213297</v>
      </c>
    </row>
    <row r="9" spans="1:220" s="189" customFormat="1">
      <c r="A9" s="176">
        <v>2015</v>
      </c>
      <c r="B9" s="357">
        <v>7</v>
      </c>
      <c r="C9" s="357">
        <v>5</v>
      </c>
      <c r="D9" s="29">
        <v>12</v>
      </c>
      <c r="E9" s="29">
        <v>10.9</v>
      </c>
      <c r="F9" s="29">
        <v>6.4</v>
      </c>
      <c r="G9" s="175"/>
      <c r="H9" s="175"/>
      <c r="I9" s="358">
        <v>43</v>
      </c>
      <c r="J9" s="358">
        <v>62</v>
      </c>
      <c r="K9" s="29">
        <v>105</v>
      </c>
      <c r="L9" s="358">
        <v>33</v>
      </c>
      <c r="M9" s="29">
        <v>75.75</v>
      </c>
      <c r="N9" s="358">
        <v>16</v>
      </c>
      <c r="O9" s="358">
        <v>76.5</v>
      </c>
      <c r="P9" s="183">
        <f t="shared" si="6"/>
        <v>0.99019607843137258</v>
      </c>
      <c r="Q9" s="358">
        <v>65</v>
      </c>
      <c r="R9" s="358">
        <v>0</v>
      </c>
      <c r="S9" s="182">
        <v>2115525</v>
      </c>
      <c r="T9" s="30">
        <v>2091839</v>
      </c>
      <c r="U9" s="182">
        <v>1558004</v>
      </c>
      <c r="V9" s="182">
        <v>533835</v>
      </c>
      <c r="W9" s="185">
        <f t="shared" si="7"/>
        <v>0.25519889436997778</v>
      </c>
    </row>
    <row r="10" spans="1:220" s="22" customFormat="1">
      <c r="A10" s="176">
        <v>2014</v>
      </c>
      <c r="B10" s="358">
        <v>9</v>
      </c>
      <c r="C10" s="358">
        <v>4</v>
      </c>
      <c r="D10" s="29">
        <f>B10+C10</f>
        <v>13</v>
      </c>
      <c r="E10" s="172">
        <f t="shared" ref="E10:E22" si="8">ROUND((O10/B10), 0)</f>
        <v>9</v>
      </c>
      <c r="F10" s="172">
        <f t="shared" ref="F10:F22" si="9">ROUND((O10/D10), 0)</f>
        <v>6</v>
      </c>
      <c r="G10" s="175"/>
      <c r="H10" s="175"/>
      <c r="I10" s="358">
        <v>39</v>
      </c>
      <c r="J10" s="358">
        <v>77</v>
      </c>
      <c r="K10" s="29">
        <f t="shared" ref="K10:K22" si="10">SUM(I10:J10)</f>
        <v>116</v>
      </c>
      <c r="L10" s="358">
        <v>37.75</v>
      </c>
      <c r="M10" s="172">
        <f>I10+L10</f>
        <v>76.75</v>
      </c>
      <c r="N10" s="358">
        <v>13</v>
      </c>
      <c r="O10" s="358">
        <v>78</v>
      </c>
      <c r="P10" s="183">
        <f t="shared" si="6"/>
        <v>0.98397435897435892</v>
      </c>
      <c r="Q10" s="358">
        <v>79</v>
      </c>
      <c r="R10" s="358">
        <v>0</v>
      </c>
      <c r="S10" s="179">
        <v>2460687</v>
      </c>
      <c r="T10" s="30">
        <f t="shared" ref="T10:T22" si="11">SUM(U10:V10)</f>
        <v>2368701</v>
      </c>
      <c r="U10" s="179">
        <v>1518382</v>
      </c>
      <c r="V10" s="179">
        <v>850319</v>
      </c>
      <c r="W10" s="185">
        <f t="shared" si="7"/>
        <v>0.35898114620629618</v>
      </c>
      <c r="X10" s="190"/>
    </row>
    <row r="11" spans="1:220" s="26" customFormat="1">
      <c r="A11" s="176" t="s">
        <v>80</v>
      </c>
      <c r="B11" s="358">
        <v>9</v>
      </c>
      <c r="C11" s="358">
        <v>3.5</v>
      </c>
      <c r="D11" s="29">
        <f>B11+C11</f>
        <v>12.5</v>
      </c>
      <c r="E11" s="172">
        <f t="shared" si="8"/>
        <v>11</v>
      </c>
      <c r="F11" s="172">
        <f t="shared" si="9"/>
        <v>8</v>
      </c>
      <c r="G11" s="177"/>
      <c r="H11" s="177"/>
      <c r="I11" s="358">
        <v>53</v>
      </c>
      <c r="J11" s="358">
        <v>91</v>
      </c>
      <c r="K11" s="29">
        <f t="shared" si="10"/>
        <v>144</v>
      </c>
      <c r="L11" s="358">
        <v>48.16</v>
      </c>
      <c r="M11" s="172">
        <f>I11+L11</f>
        <v>101.16</v>
      </c>
      <c r="N11" s="358">
        <v>16</v>
      </c>
      <c r="O11" s="358">
        <v>101.91</v>
      </c>
      <c r="P11" s="183">
        <f t="shared" si="6"/>
        <v>0.99264056520459232</v>
      </c>
      <c r="Q11" s="358">
        <v>87</v>
      </c>
      <c r="R11" s="358">
        <v>0</v>
      </c>
      <c r="S11" s="179">
        <v>2173157</v>
      </c>
      <c r="T11" s="30">
        <f t="shared" si="11"/>
        <v>2396270</v>
      </c>
      <c r="U11" s="179">
        <v>1390458</v>
      </c>
      <c r="V11" s="179">
        <v>1005812</v>
      </c>
      <c r="W11" s="185">
        <f t="shared" si="7"/>
        <v>0.41974068030731093</v>
      </c>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220" s="26" customFormat="1">
      <c r="A12" s="176">
        <v>2012</v>
      </c>
      <c r="B12" s="358">
        <v>9</v>
      </c>
      <c r="C12" s="358">
        <v>4</v>
      </c>
      <c r="D12" s="29">
        <f>B12+C12</f>
        <v>13</v>
      </c>
      <c r="E12" s="172">
        <f t="shared" si="8"/>
        <v>14</v>
      </c>
      <c r="F12" s="172">
        <f t="shared" si="9"/>
        <v>9</v>
      </c>
      <c r="G12" s="177"/>
      <c r="H12" s="177"/>
      <c r="I12" s="358">
        <v>68</v>
      </c>
      <c r="J12" s="358">
        <v>102</v>
      </c>
      <c r="K12" s="29">
        <f t="shared" si="10"/>
        <v>170</v>
      </c>
      <c r="L12" s="358">
        <v>53.489999999999995</v>
      </c>
      <c r="M12" s="172">
        <f>I12+L12</f>
        <v>121.49</v>
      </c>
      <c r="N12" s="358">
        <v>9</v>
      </c>
      <c r="O12" s="358">
        <v>122.49</v>
      </c>
      <c r="P12" s="183">
        <f t="shared" si="6"/>
        <v>0.99183606825046944</v>
      </c>
      <c r="Q12" s="358">
        <v>76</v>
      </c>
      <c r="R12" s="358">
        <v>0</v>
      </c>
      <c r="S12" s="179">
        <v>3025284</v>
      </c>
      <c r="T12" s="30">
        <f t="shared" si="11"/>
        <v>3057950</v>
      </c>
      <c r="U12" s="179">
        <v>1402811</v>
      </c>
      <c r="V12" s="179">
        <v>1655139</v>
      </c>
      <c r="W12" s="185">
        <f t="shared" si="7"/>
        <v>0.54125770532546313</v>
      </c>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row>
    <row r="13" spans="1:220" s="26" customFormat="1">
      <c r="A13" s="176" t="s">
        <v>81</v>
      </c>
      <c r="B13" s="358">
        <v>9</v>
      </c>
      <c r="C13" s="358">
        <v>4</v>
      </c>
      <c r="D13" s="29">
        <f t="shared" ref="D13:D22" si="12">SUM(B13:C13)</f>
        <v>13</v>
      </c>
      <c r="E13" s="172">
        <f t="shared" si="8"/>
        <v>15</v>
      </c>
      <c r="F13" s="172">
        <f t="shared" si="9"/>
        <v>11</v>
      </c>
      <c r="G13" s="177"/>
      <c r="H13" s="177"/>
      <c r="I13" s="358">
        <v>83</v>
      </c>
      <c r="J13" s="358">
        <v>108</v>
      </c>
      <c r="K13" s="29">
        <f t="shared" si="10"/>
        <v>191</v>
      </c>
      <c r="L13" s="358">
        <v>53</v>
      </c>
      <c r="M13" s="172">
        <f t="shared" ref="M13:M22" si="13">(I13+L13)</f>
        <v>136</v>
      </c>
      <c r="N13" s="358">
        <v>17</v>
      </c>
      <c r="O13" s="358">
        <v>137</v>
      </c>
      <c r="P13" s="183">
        <f t="shared" si="6"/>
        <v>0.99270072992700731</v>
      </c>
      <c r="Q13" s="358">
        <v>108</v>
      </c>
      <c r="R13" s="358">
        <v>0</v>
      </c>
      <c r="S13" s="179">
        <v>2783743</v>
      </c>
      <c r="T13" s="30">
        <f t="shared" si="11"/>
        <v>2910853.84</v>
      </c>
      <c r="U13" s="179">
        <v>1621769.58</v>
      </c>
      <c r="V13" s="179">
        <v>1289084.26</v>
      </c>
      <c r="W13" s="185">
        <f t="shared" si="7"/>
        <v>0.44285434132275087</v>
      </c>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row>
    <row r="14" spans="1:220" s="26" customFormat="1">
      <c r="A14" s="176" t="s">
        <v>82</v>
      </c>
      <c r="B14" s="358">
        <v>10</v>
      </c>
      <c r="C14" s="358">
        <v>5</v>
      </c>
      <c r="D14" s="29">
        <f t="shared" si="12"/>
        <v>15</v>
      </c>
      <c r="E14" s="172">
        <f t="shared" si="8"/>
        <v>17</v>
      </c>
      <c r="F14" s="172">
        <f t="shared" si="9"/>
        <v>12</v>
      </c>
      <c r="G14" s="177"/>
      <c r="H14" s="177"/>
      <c r="I14" s="358">
        <v>111</v>
      </c>
      <c r="J14" s="358">
        <v>112</v>
      </c>
      <c r="K14" s="29">
        <f t="shared" si="10"/>
        <v>223</v>
      </c>
      <c r="L14" s="358">
        <v>55.1</v>
      </c>
      <c r="M14" s="172">
        <f t="shared" si="13"/>
        <v>166.1</v>
      </c>
      <c r="N14" s="358">
        <v>18</v>
      </c>
      <c r="O14" s="358">
        <v>174.1</v>
      </c>
      <c r="P14" s="183">
        <f t="shared" si="6"/>
        <v>0.95404939689833423</v>
      </c>
      <c r="Q14" s="358">
        <v>101</v>
      </c>
      <c r="R14" s="358">
        <v>62</v>
      </c>
      <c r="S14" s="179">
        <v>2224064.9799999995</v>
      </c>
      <c r="T14" s="30">
        <f t="shared" si="11"/>
        <v>2295554.44</v>
      </c>
      <c r="U14" s="179">
        <v>1695666.44</v>
      </c>
      <c r="V14" s="179">
        <v>599888</v>
      </c>
      <c r="W14" s="185">
        <f t="shared" si="7"/>
        <v>0.26132597404224489</v>
      </c>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row>
    <row r="15" spans="1:220" s="26" customFormat="1">
      <c r="A15" s="176" t="s">
        <v>83</v>
      </c>
      <c r="B15" s="358">
        <v>9</v>
      </c>
      <c r="C15" s="358">
        <v>11</v>
      </c>
      <c r="D15" s="29">
        <f t="shared" si="12"/>
        <v>20</v>
      </c>
      <c r="E15" s="172">
        <f t="shared" si="8"/>
        <v>36</v>
      </c>
      <c r="F15" s="172">
        <f t="shared" si="9"/>
        <v>16</v>
      </c>
      <c r="G15" s="177"/>
      <c r="H15" s="177"/>
      <c r="I15" s="358">
        <v>106</v>
      </c>
      <c r="J15" s="358">
        <v>133</v>
      </c>
      <c r="K15" s="29">
        <f t="shared" si="10"/>
        <v>239</v>
      </c>
      <c r="L15" s="358">
        <v>67.41</v>
      </c>
      <c r="M15" s="172">
        <f t="shared" si="13"/>
        <v>173.41</v>
      </c>
      <c r="N15" s="358">
        <v>21</v>
      </c>
      <c r="O15" s="358">
        <v>325.74</v>
      </c>
      <c r="P15" s="183">
        <f t="shared" si="6"/>
        <v>0.53235709461533731</v>
      </c>
      <c r="Q15" s="358">
        <v>106</v>
      </c>
      <c r="R15" s="358">
        <v>48</v>
      </c>
      <c r="S15" s="179">
        <v>2530887.87</v>
      </c>
      <c r="T15" s="30">
        <f t="shared" si="11"/>
        <v>2561478</v>
      </c>
      <c r="U15" s="179">
        <v>1718428</v>
      </c>
      <c r="V15" s="179">
        <v>843050</v>
      </c>
      <c r="W15" s="185">
        <f t="shared" si="7"/>
        <v>0.32912638718739728</v>
      </c>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row>
    <row r="16" spans="1:220" s="26" customFormat="1">
      <c r="A16" s="176" t="s">
        <v>84</v>
      </c>
      <c r="B16" s="358">
        <v>9</v>
      </c>
      <c r="C16" s="358">
        <v>10.5</v>
      </c>
      <c r="D16" s="29">
        <f t="shared" si="12"/>
        <v>19.5</v>
      </c>
      <c r="E16" s="172">
        <f t="shared" si="8"/>
        <v>33</v>
      </c>
      <c r="F16" s="172">
        <f t="shared" si="9"/>
        <v>15</v>
      </c>
      <c r="G16" s="177"/>
      <c r="H16" s="177"/>
      <c r="I16" s="358">
        <v>88</v>
      </c>
      <c r="J16" s="358">
        <v>130</v>
      </c>
      <c r="K16" s="29">
        <f t="shared" si="10"/>
        <v>218</v>
      </c>
      <c r="L16" s="358">
        <v>66</v>
      </c>
      <c r="M16" s="172">
        <f t="shared" si="13"/>
        <v>154</v>
      </c>
      <c r="N16" s="358">
        <v>18</v>
      </c>
      <c r="O16" s="358">
        <v>295</v>
      </c>
      <c r="P16" s="183">
        <f t="shared" si="6"/>
        <v>0.52203389830508473</v>
      </c>
      <c r="Q16" s="358">
        <v>90</v>
      </c>
      <c r="R16" s="358">
        <v>64</v>
      </c>
      <c r="S16" s="179">
        <v>2855457</v>
      </c>
      <c r="T16" s="30">
        <f t="shared" si="11"/>
        <v>2919077</v>
      </c>
      <c r="U16" s="179">
        <v>2034270</v>
      </c>
      <c r="V16" s="179">
        <v>884807</v>
      </c>
      <c r="W16" s="185">
        <f t="shared" si="7"/>
        <v>0.30311190831896523</v>
      </c>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row>
    <row r="17" spans="1:59" s="26" customFormat="1">
      <c r="A17" s="176">
        <v>2007</v>
      </c>
      <c r="B17" s="358">
        <v>9</v>
      </c>
      <c r="C17" s="358">
        <v>9</v>
      </c>
      <c r="D17" s="180">
        <f t="shared" si="12"/>
        <v>18</v>
      </c>
      <c r="E17" s="172">
        <f t="shared" si="8"/>
        <v>30</v>
      </c>
      <c r="F17" s="172">
        <f t="shared" si="9"/>
        <v>15</v>
      </c>
      <c r="G17" s="177"/>
      <c r="H17" s="177"/>
      <c r="I17" s="358">
        <v>96</v>
      </c>
      <c r="J17" s="358">
        <v>108</v>
      </c>
      <c r="K17" s="180">
        <f t="shared" si="10"/>
        <v>204</v>
      </c>
      <c r="L17" s="358">
        <v>57.2</v>
      </c>
      <c r="M17" s="172">
        <f t="shared" si="13"/>
        <v>153.19999999999999</v>
      </c>
      <c r="N17" s="358">
        <v>14</v>
      </c>
      <c r="O17" s="358">
        <v>268</v>
      </c>
      <c r="P17" s="183">
        <f t="shared" si="6"/>
        <v>0.57164179104477608</v>
      </c>
      <c r="Q17" s="358">
        <v>98</v>
      </c>
      <c r="R17" s="358">
        <v>45</v>
      </c>
      <c r="S17" s="182">
        <v>2823679</v>
      </c>
      <c r="T17" s="30">
        <f t="shared" si="11"/>
        <v>2846990.38</v>
      </c>
      <c r="U17" s="182">
        <v>1985895.38</v>
      </c>
      <c r="V17" s="182">
        <v>861095</v>
      </c>
      <c r="W17" s="185">
        <f t="shared" si="7"/>
        <v>0.30245799425567432</v>
      </c>
      <c r="X17" s="190"/>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59" s="26" customFormat="1">
      <c r="A18" s="176">
        <v>2006</v>
      </c>
      <c r="B18" s="358">
        <v>13</v>
      </c>
      <c r="C18" s="358">
        <v>5.5</v>
      </c>
      <c r="D18" s="180">
        <f t="shared" si="12"/>
        <v>18.5</v>
      </c>
      <c r="E18" s="172">
        <f t="shared" si="8"/>
        <v>22</v>
      </c>
      <c r="F18" s="172">
        <f t="shared" si="9"/>
        <v>15</v>
      </c>
      <c r="G18" s="177"/>
      <c r="H18" s="177"/>
      <c r="I18" s="358">
        <v>98</v>
      </c>
      <c r="J18" s="358">
        <v>126</v>
      </c>
      <c r="K18" s="180">
        <f t="shared" si="10"/>
        <v>224</v>
      </c>
      <c r="L18" s="358">
        <v>63</v>
      </c>
      <c r="M18" s="172">
        <f t="shared" si="13"/>
        <v>161</v>
      </c>
      <c r="N18" s="358">
        <v>17</v>
      </c>
      <c r="O18" s="358">
        <v>283</v>
      </c>
      <c r="P18" s="183">
        <f t="shared" si="6"/>
        <v>0.56890459363957602</v>
      </c>
      <c r="Q18" s="358">
        <v>108</v>
      </c>
      <c r="R18" s="358">
        <v>60</v>
      </c>
      <c r="S18" s="182">
        <v>2445803</v>
      </c>
      <c r="T18" s="30">
        <f t="shared" si="11"/>
        <v>2499098</v>
      </c>
      <c r="U18" s="182">
        <v>1779239</v>
      </c>
      <c r="V18" s="182">
        <v>719859</v>
      </c>
      <c r="W18" s="185">
        <f t="shared" si="7"/>
        <v>0.28804752754793927</v>
      </c>
      <c r="X18" s="190"/>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row>
    <row r="19" spans="1:59" s="26" customFormat="1">
      <c r="A19" s="176">
        <v>2005</v>
      </c>
      <c r="B19" s="358">
        <v>11</v>
      </c>
      <c r="C19" s="358">
        <v>9</v>
      </c>
      <c r="D19" s="180">
        <f t="shared" si="12"/>
        <v>20</v>
      </c>
      <c r="E19" s="172">
        <f t="shared" si="8"/>
        <v>29</v>
      </c>
      <c r="F19" s="172">
        <f t="shared" si="9"/>
        <v>16</v>
      </c>
      <c r="G19" s="177"/>
      <c r="H19" s="177"/>
      <c r="I19" s="358">
        <v>90</v>
      </c>
      <c r="J19" s="358">
        <v>126</v>
      </c>
      <c r="K19" s="180">
        <f t="shared" si="10"/>
        <v>216</v>
      </c>
      <c r="L19" s="358">
        <v>67</v>
      </c>
      <c r="M19" s="172">
        <f t="shared" si="13"/>
        <v>157</v>
      </c>
      <c r="N19" s="358">
        <v>21</v>
      </c>
      <c r="O19" s="358">
        <v>316.3</v>
      </c>
      <c r="P19" s="183">
        <f t="shared" si="6"/>
        <v>0.49636421119190638</v>
      </c>
      <c r="Q19" s="358">
        <v>0</v>
      </c>
      <c r="R19" s="358">
        <v>207</v>
      </c>
      <c r="S19" s="182">
        <v>3151362</v>
      </c>
      <c r="T19" s="30">
        <f t="shared" si="11"/>
        <v>3153309</v>
      </c>
      <c r="U19" s="182">
        <v>2217128</v>
      </c>
      <c r="V19" s="182">
        <v>936181</v>
      </c>
      <c r="W19" s="185">
        <f t="shared" si="7"/>
        <v>0.29688844321948782</v>
      </c>
      <c r="X19" s="190"/>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59" s="26" customFormat="1">
      <c r="A20" s="176">
        <v>2004</v>
      </c>
      <c r="B20" s="181">
        <v>10</v>
      </c>
      <c r="C20" s="181">
        <v>12</v>
      </c>
      <c r="D20" s="180">
        <f t="shared" si="12"/>
        <v>22</v>
      </c>
      <c r="E20" s="172">
        <f t="shared" si="8"/>
        <v>48</v>
      </c>
      <c r="F20" s="172">
        <f t="shared" si="9"/>
        <v>22</v>
      </c>
      <c r="G20" s="177"/>
      <c r="H20" s="177"/>
      <c r="I20" s="181">
        <v>236</v>
      </c>
      <c r="J20" s="181">
        <v>91</v>
      </c>
      <c r="K20" s="180">
        <f t="shared" si="10"/>
        <v>327</v>
      </c>
      <c r="L20" s="181">
        <v>34</v>
      </c>
      <c r="M20" s="172">
        <f t="shared" si="13"/>
        <v>270</v>
      </c>
      <c r="N20" s="181">
        <v>12</v>
      </c>
      <c r="O20" s="181">
        <v>484</v>
      </c>
      <c r="P20" s="183">
        <f t="shared" si="6"/>
        <v>0.55785123966942152</v>
      </c>
      <c r="Q20" s="181">
        <v>61</v>
      </c>
      <c r="R20" s="358">
        <v>157</v>
      </c>
      <c r="S20" s="182">
        <v>2568984</v>
      </c>
      <c r="T20" s="30">
        <f t="shared" si="11"/>
        <v>2611571</v>
      </c>
      <c r="U20" s="182">
        <v>1808085</v>
      </c>
      <c r="V20" s="182">
        <v>803486</v>
      </c>
      <c r="W20" s="185">
        <f t="shared" si="7"/>
        <v>0.30766385443857358</v>
      </c>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row>
    <row r="21" spans="1:59" s="26" customFormat="1">
      <c r="A21" s="176" t="s">
        <v>85</v>
      </c>
      <c r="B21" s="181">
        <v>11</v>
      </c>
      <c r="C21" s="181">
        <v>7</v>
      </c>
      <c r="D21" s="180">
        <f t="shared" si="12"/>
        <v>18</v>
      </c>
      <c r="E21" s="172">
        <f t="shared" si="8"/>
        <v>33</v>
      </c>
      <c r="F21" s="172">
        <f t="shared" si="9"/>
        <v>20</v>
      </c>
      <c r="G21" s="177"/>
      <c r="H21" s="177"/>
      <c r="I21" s="181">
        <v>126</v>
      </c>
      <c r="J21" s="181">
        <v>91</v>
      </c>
      <c r="K21" s="180">
        <f t="shared" si="10"/>
        <v>217</v>
      </c>
      <c r="L21" s="181">
        <v>35</v>
      </c>
      <c r="M21" s="172">
        <f t="shared" si="13"/>
        <v>161</v>
      </c>
      <c r="N21" s="181">
        <v>15</v>
      </c>
      <c r="O21" s="181">
        <f>ROUND(365.6, 0)</f>
        <v>366</v>
      </c>
      <c r="P21" s="183">
        <f t="shared" si="6"/>
        <v>0.43989071038251365</v>
      </c>
      <c r="Q21" s="181">
        <v>112</v>
      </c>
      <c r="R21" s="358">
        <v>109</v>
      </c>
      <c r="S21" s="182">
        <v>2219107</v>
      </c>
      <c r="T21" s="30">
        <f t="shared" si="11"/>
        <v>2222589</v>
      </c>
      <c r="U21" s="182">
        <v>1508132</v>
      </c>
      <c r="V21" s="182">
        <v>714457</v>
      </c>
      <c r="W21" s="185">
        <f t="shared" si="7"/>
        <v>0.32145259424931916</v>
      </c>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row>
    <row r="22" spans="1:59" s="26" customFormat="1">
      <c r="A22" s="176">
        <v>2002</v>
      </c>
      <c r="B22" s="181">
        <v>11</v>
      </c>
      <c r="C22" s="181">
        <v>7</v>
      </c>
      <c r="D22" s="180">
        <f t="shared" si="12"/>
        <v>18</v>
      </c>
      <c r="E22" s="172">
        <f t="shared" si="8"/>
        <v>36</v>
      </c>
      <c r="F22" s="172">
        <f t="shared" si="9"/>
        <v>22</v>
      </c>
      <c r="G22" s="177"/>
      <c r="H22" s="177"/>
      <c r="I22" s="181">
        <v>82</v>
      </c>
      <c r="J22" s="181">
        <v>69</v>
      </c>
      <c r="K22" s="180">
        <f t="shared" si="10"/>
        <v>151</v>
      </c>
      <c r="L22" s="181">
        <f>ROUND(25.58, 0)</f>
        <v>26</v>
      </c>
      <c r="M22" s="172">
        <f t="shared" si="13"/>
        <v>108</v>
      </c>
      <c r="N22" s="181">
        <v>5</v>
      </c>
      <c r="O22" s="181">
        <f>ROUND(391.64, 0)</f>
        <v>392</v>
      </c>
      <c r="P22" s="183">
        <f t="shared" si="6"/>
        <v>0.27551020408163263</v>
      </c>
      <c r="Q22" s="181">
        <v>65</v>
      </c>
      <c r="R22" s="358">
        <v>67</v>
      </c>
      <c r="S22" s="182">
        <v>2278152</v>
      </c>
      <c r="T22" s="30">
        <f t="shared" si="11"/>
        <v>2323109</v>
      </c>
      <c r="U22" s="182">
        <v>1561281</v>
      </c>
      <c r="V22" s="182">
        <v>761828</v>
      </c>
      <c r="W22" s="185">
        <f t="shared" si="7"/>
        <v>0.32793467719336455</v>
      </c>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row>
    <row r="23" spans="1:59" s="72" customFormat="1" ht="31.15" customHeight="1">
      <c r="A23" s="653" t="s">
        <v>111</v>
      </c>
      <c r="B23" s="654"/>
      <c r="C23" s="654"/>
      <c r="D23" s="654"/>
      <c r="E23" s="654"/>
      <c r="F23" s="654"/>
      <c r="G23" s="654"/>
      <c r="H23" s="654"/>
      <c r="I23" s="654"/>
      <c r="J23" s="654"/>
      <c r="K23" s="654"/>
      <c r="L23" s="654"/>
      <c r="M23" s="654"/>
      <c r="N23" s="654"/>
      <c r="O23" s="654"/>
      <c r="P23" s="654"/>
      <c r="Q23" s="654"/>
      <c r="R23" s="654"/>
      <c r="S23" s="654"/>
      <c r="T23" s="654"/>
      <c r="U23" s="654"/>
      <c r="V23" s="654"/>
      <c r="W23" s="654"/>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c r="BF23" s="382"/>
      <c r="BG23" s="382"/>
    </row>
    <row r="24" spans="1:59" s="72" customFormat="1">
      <c r="A24" s="653" t="s">
        <v>112</v>
      </c>
      <c r="B24" s="654"/>
      <c r="C24" s="654"/>
      <c r="D24" s="654"/>
      <c r="E24" s="654"/>
      <c r="F24" s="654"/>
      <c r="G24" s="654"/>
      <c r="H24" s="654"/>
      <c r="I24" s="654"/>
      <c r="J24" s="654"/>
      <c r="K24" s="654"/>
      <c r="L24" s="654"/>
      <c r="M24" s="654"/>
      <c r="N24" s="654"/>
      <c r="O24" s="654"/>
      <c r="P24" s="654"/>
      <c r="Q24" s="654"/>
      <c r="R24" s="654"/>
      <c r="S24" s="654"/>
      <c r="T24" s="654"/>
      <c r="U24" s="654"/>
      <c r="V24" s="654"/>
      <c r="W24" s="654"/>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2"/>
      <c r="BD24" s="382"/>
      <c r="BE24" s="382"/>
      <c r="BF24" s="382"/>
      <c r="BG24" s="382"/>
    </row>
    <row r="25" spans="1:59" s="73" customFormat="1">
      <c r="A25" s="655" t="s">
        <v>178</v>
      </c>
      <c r="B25" s="656"/>
      <c r="C25" s="656"/>
      <c r="D25" s="656"/>
      <c r="E25" s="656"/>
      <c r="F25" s="656"/>
      <c r="G25" s="656"/>
      <c r="H25" s="656"/>
      <c r="I25" s="656"/>
      <c r="J25" s="656"/>
      <c r="K25" s="656"/>
      <c r="L25" s="656"/>
      <c r="M25" s="656"/>
      <c r="N25" s="656"/>
      <c r="O25" s="656"/>
      <c r="P25" s="656"/>
      <c r="Q25" s="656"/>
      <c r="R25" s="656"/>
      <c r="S25" s="656"/>
      <c r="T25" s="656"/>
      <c r="U25" s="656"/>
      <c r="V25" s="656"/>
      <c r="W25" s="656"/>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row>
    <row r="26" spans="1:59" s="14" customFormat="1">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row>
    <row r="27" spans="1:59"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row>
    <row r="28" spans="1:59"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row>
    <row r="29" spans="1:59"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row>
    <row r="30" spans="1:59"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row>
    <row r="31" spans="1:59"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row>
    <row r="32" spans="1:59"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row>
    <row r="33" spans="24:59"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row>
    <row r="34" spans="24:59" s="14" customFormat="1">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row>
    <row r="35" spans="24:59" s="14" customFormat="1">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row>
  </sheetData>
  <mergeCells count="3">
    <mergeCell ref="A23:W23"/>
    <mergeCell ref="A24:W24"/>
    <mergeCell ref="A25:W25"/>
  </mergeCells>
  <printOptions headings="1" gridLines="1"/>
  <pageMargins left="0.5" right="0.5" top="0.5" bottom="0.5" header="0" footer="0"/>
  <pageSetup paperSize="5" scale="65" orientation="landscape" horizontalDpi="1200" verticalDpi="1200" r:id="rId1"/>
  <legacy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L33"/>
  <sheetViews>
    <sheetView workbookViewId="0">
      <selection activeCell="E28" sqref="E28"/>
    </sheetView>
  </sheetViews>
  <sheetFormatPr defaultColWidth="8.85546875" defaultRowHeight="15"/>
  <cols>
    <col min="1" max="1" width="11.5703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425781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42578125" bestFit="1" customWidth="1"/>
    <col min="22" max="22" width="10.85546875" bestFit="1" customWidth="1"/>
    <col min="23" max="23" width="12.85546875" bestFit="1" customWidth="1"/>
  </cols>
  <sheetData>
    <row r="1" spans="1:220" s="8" customFormat="1" ht="18.75">
      <c r="A1" s="1" t="s">
        <v>59</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41" customFormat="1">
      <c r="A3" s="417">
        <v>2021</v>
      </c>
      <c r="B3" s="560">
        <v>56</v>
      </c>
      <c r="C3" s="560">
        <v>14.77</v>
      </c>
      <c r="D3" s="437">
        <f t="shared" ref="D3" si="0">SUM(B3:C3)</f>
        <v>70.77</v>
      </c>
      <c r="E3" s="427">
        <f t="shared" ref="E3" si="1">ROUND((O3/B3), 0)</f>
        <v>23</v>
      </c>
      <c r="F3" s="427">
        <f t="shared" ref="F3" si="2">ROUND((O3/D3), 0)</f>
        <v>19</v>
      </c>
      <c r="G3" s="560">
        <v>56</v>
      </c>
      <c r="H3" s="560">
        <v>9.7799999999999994</v>
      </c>
      <c r="I3" s="560">
        <v>457</v>
      </c>
      <c r="J3" s="560">
        <v>44</v>
      </c>
      <c r="K3" s="437">
        <f t="shared" ref="K3" si="3">SUM(I3:J3)</f>
        <v>501</v>
      </c>
      <c r="L3" s="560">
        <v>15.84</v>
      </c>
      <c r="M3" s="427">
        <f t="shared" ref="M3" si="4">(I3+L3)</f>
        <v>472.84</v>
      </c>
      <c r="N3" s="560">
        <v>58</v>
      </c>
      <c r="O3" s="560">
        <v>1315.44</v>
      </c>
      <c r="P3" s="438">
        <f t="shared" ref="P3" si="5">M3/O3</f>
        <v>0.35945387094812381</v>
      </c>
      <c r="Q3" s="560">
        <v>232</v>
      </c>
      <c r="R3" s="560">
        <v>259</v>
      </c>
      <c r="S3" s="592">
        <v>42879317</v>
      </c>
      <c r="T3" s="439">
        <f t="shared" ref="T3" si="6">SUM(U3:V3)</f>
        <v>51453976</v>
      </c>
      <c r="U3" s="24">
        <f>42353313+9085098</f>
        <v>51438411</v>
      </c>
      <c r="V3" s="24">
        <f>15512+53</f>
        <v>15565</v>
      </c>
      <c r="W3" s="335">
        <f t="shared" ref="W3" si="7">V3/T3</f>
        <v>3.0250334784623833E-4</v>
      </c>
    </row>
    <row r="4" spans="1:220" s="441" customFormat="1">
      <c r="A4" s="417">
        <v>2020</v>
      </c>
      <c r="B4" s="560">
        <v>58</v>
      </c>
      <c r="C4" s="560">
        <v>7.79725</v>
      </c>
      <c r="D4" s="437">
        <f>SUM(B4:C4)</f>
        <v>65.797250000000005</v>
      </c>
      <c r="E4" s="427">
        <f>ROUND((O4/B4), 0)</f>
        <v>19</v>
      </c>
      <c r="F4" s="427">
        <f>ROUND((O4/D4), 0)</f>
        <v>17</v>
      </c>
      <c r="G4" s="560">
        <v>58</v>
      </c>
      <c r="H4" s="560">
        <v>7.79725</v>
      </c>
      <c r="I4" s="560">
        <v>385</v>
      </c>
      <c r="J4" s="560">
        <v>37</v>
      </c>
      <c r="K4" s="437">
        <f>SUM(I4:J4)</f>
        <v>422</v>
      </c>
      <c r="L4" s="560">
        <v>13.32</v>
      </c>
      <c r="M4" s="427">
        <f>(I4+L4)</f>
        <v>398.32</v>
      </c>
      <c r="N4" s="560">
        <v>50</v>
      </c>
      <c r="O4" s="560">
        <v>1126</v>
      </c>
      <c r="P4" s="438">
        <f>M4/O4</f>
        <v>0.35374777975133215</v>
      </c>
      <c r="Q4" s="560">
        <v>222</v>
      </c>
      <c r="R4" s="560">
        <v>209</v>
      </c>
      <c r="S4" s="592">
        <v>43047382</v>
      </c>
      <c r="T4" s="439">
        <f>SUM(U4:V4)</f>
        <v>44932810</v>
      </c>
      <c r="U4" s="24">
        <v>44840632</v>
      </c>
      <c r="V4" s="24">
        <v>92178</v>
      </c>
      <c r="W4" s="335">
        <f t="shared" ref="W4" si="8">V4/T4</f>
        <v>2.0514630622923426E-3</v>
      </c>
    </row>
    <row r="5" spans="1:220">
      <c r="A5" s="11">
        <v>2019</v>
      </c>
      <c r="B5" s="409">
        <v>51</v>
      </c>
      <c r="C5" s="409">
        <v>7.92</v>
      </c>
      <c r="D5" s="410">
        <f>SUM(B5:C5)</f>
        <v>58.92</v>
      </c>
      <c r="E5" s="411">
        <f>ROUND((O5/B5), 0)</f>
        <v>20</v>
      </c>
      <c r="F5" s="411">
        <f>ROUND((O5/D5), 0)</f>
        <v>17</v>
      </c>
      <c r="G5" s="409">
        <v>51</v>
      </c>
      <c r="H5" s="409">
        <v>7.92</v>
      </c>
      <c r="I5" s="409">
        <v>431</v>
      </c>
      <c r="J5" s="409">
        <v>47</v>
      </c>
      <c r="K5" s="410">
        <f>SUM(I5:J5)</f>
        <v>478</v>
      </c>
      <c r="L5" s="409">
        <v>16.920000000000002</v>
      </c>
      <c r="M5" s="411">
        <f>(I5+L5)</f>
        <v>447.92</v>
      </c>
      <c r="N5" s="409">
        <v>49</v>
      </c>
      <c r="O5" s="409">
        <v>1004</v>
      </c>
      <c r="P5" s="413">
        <f>M5/O5</f>
        <v>0.44613545816733069</v>
      </c>
      <c r="Q5" s="409">
        <v>204</v>
      </c>
      <c r="R5" s="409">
        <v>169</v>
      </c>
      <c r="S5" s="414">
        <v>35178939</v>
      </c>
      <c r="T5" s="415">
        <v>37326121.07</v>
      </c>
      <c r="U5" s="414">
        <v>37198825</v>
      </c>
      <c r="V5" s="414">
        <v>127296</v>
      </c>
      <c r="W5" s="335">
        <f t="shared" ref="W5" si="9">V5/T5</f>
        <v>3.4103731207771062E-3</v>
      </c>
    </row>
    <row r="6" spans="1:220" s="17" customFormat="1">
      <c r="A6" s="33">
        <v>2018</v>
      </c>
      <c r="B6" s="20">
        <v>48</v>
      </c>
      <c r="C6" s="20">
        <v>8.2390000000000008</v>
      </c>
      <c r="D6" s="29">
        <f>SUM(B6:C6)</f>
        <v>56.239000000000004</v>
      </c>
      <c r="E6" s="172">
        <f>ROUND((O6/B6), 0)</f>
        <v>19</v>
      </c>
      <c r="F6" s="172">
        <f>ROUND((O6/D6), 0)</f>
        <v>16</v>
      </c>
      <c r="G6" s="20">
        <v>48</v>
      </c>
      <c r="H6" s="20">
        <v>8.2390000000000008</v>
      </c>
      <c r="I6" s="20">
        <v>406</v>
      </c>
      <c r="J6" s="20">
        <v>36</v>
      </c>
      <c r="K6" s="29">
        <f t="shared" ref="K6" si="10">SUM(I6:J6)</f>
        <v>442</v>
      </c>
      <c r="L6" s="20">
        <v>12.96</v>
      </c>
      <c r="M6" s="172">
        <f>(I6+L6)</f>
        <v>418.96</v>
      </c>
      <c r="N6" s="20">
        <v>37</v>
      </c>
      <c r="O6" s="20">
        <v>895</v>
      </c>
      <c r="P6" s="183">
        <f>M6/O6</f>
        <v>0.46811173184357541</v>
      </c>
      <c r="Q6" s="20">
        <v>195</v>
      </c>
      <c r="R6" s="20">
        <v>221</v>
      </c>
      <c r="S6" s="24">
        <v>31307184</v>
      </c>
      <c r="T6" s="30">
        <f>SUM(U6:V6)</f>
        <v>33568777</v>
      </c>
      <c r="U6" s="24">
        <v>27319977</v>
      </c>
      <c r="V6" s="24">
        <v>6248800</v>
      </c>
      <c r="W6" s="185">
        <f>V6/T6</f>
        <v>0.18614917070109524</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45</v>
      </c>
      <c r="C7" s="20">
        <v>7.1829999999999998</v>
      </c>
      <c r="D7" s="34">
        <f>SUM(B7:C7)</f>
        <v>52.183</v>
      </c>
      <c r="E7" s="34">
        <f>ROUND((O7/B7), 0)</f>
        <v>18</v>
      </c>
      <c r="F7" s="34">
        <f>ROUND((O7/D7), 0)</f>
        <v>15</v>
      </c>
      <c r="G7" s="20">
        <v>45</v>
      </c>
      <c r="H7" s="20">
        <v>7.1829999999999998</v>
      </c>
      <c r="I7" s="20">
        <v>380</v>
      </c>
      <c r="J7" s="20">
        <v>36</v>
      </c>
      <c r="K7" s="34">
        <f>SUM(I7:J7)</f>
        <v>416</v>
      </c>
      <c r="L7" s="20">
        <v>19</v>
      </c>
      <c r="M7" s="36">
        <f>(I7+L7)</f>
        <v>399</v>
      </c>
      <c r="N7" s="344">
        <v>26</v>
      </c>
      <c r="O7" s="344">
        <v>792</v>
      </c>
      <c r="P7" s="183">
        <f t="shared" ref="P7:P22" si="11">M7/O7</f>
        <v>0.50378787878787878</v>
      </c>
      <c r="Q7" s="20">
        <v>148</v>
      </c>
      <c r="R7" s="20">
        <v>129</v>
      </c>
      <c r="S7" s="300">
        <v>27394790</v>
      </c>
      <c r="T7" s="35">
        <f>SUM(U7:V7)</f>
        <v>27769311</v>
      </c>
      <c r="U7" s="341">
        <v>22327718</v>
      </c>
      <c r="V7" s="24">
        <v>5441593</v>
      </c>
      <c r="W7" s="185">
        <f t="shared" ref="W7:W22" si="12">V7/T7</f>
        <v>0.19595707650074573</v>
      </c>
    </row>
    <row r="8" spans="1:220" s="93" customFormat="1">
      <c r="A8" s="143">
        <v>2016</v>
      </c>
      <c r="B8" s="63">
        <v>37</v>
      </c>
      <c r="C8" s="63">
        <v>8.2249999999999996</v>
      </c>
      <c r="D8" s="81">
        <f>SUM(B8:C8)</f>
        <v>45.225000000000001</v>
      </c>
      <c r="E8" s="82">
        <f>ROUND((O8/B8), 0)</f>
        <v>18</v>
      </c>
      <c r="F8" s="82">
        <f>ROUND((O8/D8), 0)</f>
        <v>15</v>
      </c>
      <c r="G8" s="63">
        <v>37</v>
      </c>
      <c r="H8" s="63">
        <v>8.2249999999999996</v>
      </c>
      <c r="I8" s="63">
        <v>322</v>
      </c>
      <c r="J8" s="63">
        <v>30</v>
      </c>
      <c r="K8" s="81">
        <f>SUM(I8:J8)</f>
        <v>352</v>
      </c>
      <c r="L8" s="63">
        <v>13</v>
      </c>
      <c r="M8" s="82">
        <f>(I8+L8)</f>
        <v>335</v>
      </c>
      <c r="N8" s="63">
        <v>26</v>
      </c>
      <c r="O8" s="63">
        <v>670</v>
      </c>
      <c r="P8" s="183">
        <f t="shared" si="11"/>
        <v>0.5</v>
      </c>
      <c r="Q8" s="63">
        <v>155</v>
      </c>
      <c r="R8" s="63">
        <v>87</v>
      </c>
      <c r="S8" s="64">
        <v>23539603</v>
      </c>
      <c r="T8" s="85">
        <f>SUM(U8:V8)</f>
        <v>23025172</v>
      </c>
      <c r="U8" s="64">
        <v>18945892</v>
      </c>
      <c r="V8" s="64">
        <v>4079280</v>
      </c>
      <c r="W8" s="185">
        <f t="shared" si="12"/>
        <v>0.17716610325429924</v>
      </c>
    </row>
    <row r="9" spans="1:220" s="101" customFormat="1">
      <c r="A9" s="95">
        <v>2015</v>
      </c>
      <c r="B9" s="63">
        <v>45</v>
      </c>
      <c r="C9" s="63">
        <v>1.63</v>
      </c>
      <c r="D9" s="87">
        <v>46.63</v>
      </c>
      <c r="E9" s="81">
        <v>12.55</v>
      </c>
      <c r="F9" s="81">
        <v>12.12</v>
      </c>
      <c r="G9" s="111"/>
      <c r="H9" s="111"/>
      <c r="I9" s="91">
        <v>289</v>
      </c>
      <c r="J9" s="91">
        <v>32</v>
      </c>
      <c r="K9" s="81">
        <v>321</v>
      </c>
      <c r="L9" s="63">
        <v>13</v>
      </c>
      <c r="M9" s="87">
        <v>302</v>
      </c>
      <c r="N9" s="63">
        <v>54</v>
      </c>
      <c r="O9" s="63">
        <v>565</v>
      </c>
      <c r="P9" s="183">
        <f t="shared" si="11"/>
        <v>0.53451327433628315</v>
      </c>
      <c r="Q9" s="91">
        <v>187</v>
      </c>
      <c r="R9" s="91">
        <v>52</v>
      </c>
      <c r="S9" s="102">
        <v>24822395</v>
      </c>
      <c r="T9" s="103">
        <v>25189891</v>
      </c>
      <c r="U9" s="102">
        <v>18638036</v>
      </c>
      <c r="V9" s="102">
        <v>6551855</v>
      </c>
      <c r="W9" s="185">
        <f t="shared" si="12"/>
        <v>0.26009858478546016</v>
      </c>
    </row>
    <row r="10" spans="1:220" s="71" customFormat="1">
      <c r="A10" s="90">
        <v>2014</v>
      </c>
      <c r="B10" s="353">
        <v>32</v>
      </c>
      <c r="C10" s="353">
        <v>8.27</v>
      </c>
      <c r="D10" s="108">
        <f t="shared" ref="D10:D22" si="13">SUM(B10:C10)</f>
        <v>40.269999999999996</v>
      </c>
      <c r="E10" s="109">
        <f t="shared" ref="E10:E22" si="14">ROUND((O10/B10), 0)</f>
        <v>16</v>
      </c>
      <c r="F10" s="109">
        <f t="shared" ref="F10:F22" si="15">ROUND((O10/D10), 0)</f>
        <v>13</v>
      </c>
      <c r="G10" s="111"/>
      <c r="H10" s="111"/>
      <c r="I10" s="353">
        <v>326</v>
      </c>
      <c r="J10" s="353">
        <v>29</v>
      </c>
      <c r="K10" s="108">
        <f t="shared" ref="K10:K22" si="16">SUM(I10:J10)</f>
        <v>355</v>
      </c>
      <c r="L10" s="353">
        <v>14.92</v>
      </c>
      <c r="M10" s="109">
        <f t="shared" ref="M10:M22" si="17">(I10+L10)</f>
        <v>340.92</v>
      </c>
      <c r="N10" s="353">
        <v>63</v>
      </c>
      <c r="O10" s="353">
        <v>524</v>
      </c>
      <c r="P10" s="183">
        <f t="shared" si="11"/>
        <v>0.65061068702290081</v>
      </c>
      <c r="Q10" s="353">
        <v>185</v>
      </c>
      <c r="R10" s="353">
        <v>22</v>
      </c>
      <c r="S10" s="112">
        <v>23460092</v>
      </c>
      <c r="T10" s="110">
        <f t="shared" ref="T10:T22" si="18">SUM(U10:V10)</f>
        <v>26573767</v>
      </c>
      <c r="U10" s="112">
        <v>18576228</v>
      </c>
      <c r="V10" s="112">
        <v>7997539</v>
      </c>
      <c r="W10" s="185">
        <f t="shared" si="12"/>
        <v>0.30095616477709014</v>
      </c>
    </row>
    <row r="11" spans="1:220" s="71" customFormat="1">
      <c r="A11" s="90">
        <v>2013</v>
      </c>
      <c r="B11" s="353">
        <v>32.6</v>
      </c>
      <c r="C11" s="353">
        <v>8.83</v>
      </c>
      <c r="D11" s="108">
        <f t="shared" si="13"/>
        <v>41.43</v>
      </c>
      <c r="E11" s="109">
        <f t="shared" si="14"/>
        <v>12</v>
      </c>
      <c r="F11" s="109">
        <f t="shared" si="15"/>
        <v>10</v>
      </c>
      <c r="G11" s="113"/>
      <c r="H11" s="113"/>
      <c r="I11" s="353">
        <v>367</v>
      </c>
      <c r="J11" s="353">
        <v>26</v>
      </c>
      <c r="K11" s="108">
        <f t="shared" si="16"/>
        <v>393</v>
      </c>
      <c r="L11" s="353">
        <v>0.93</v>
      </c>
      <c r="M11" s="109">
        <f t="shared" si="17"/>
        <v>367.93</v>
      </c>
      <c r="N11" s="353">
        <v>62</v>
      </c>
      <c r="O11" s="353">
        <v>401.14</v>
      </c>
      <c r="P11" s="183">
        <f t="shared" si="11"/>
        <v>0.91721094879593168</v>
      </c>
      <c r="Q11" s="353">
        <v>183</v>
      </c>
      <c r="R11" s="353">
        <v>0</v>
      </c>
      <c r="S11" s="112">
        <v>21291033</v>
      </c>
      <c r="T11" s="110">
        <f t="shared" si="18"/>
        <v>24555609</v>
      </c>
      <c r="U11" s="112">
        <v>17734640</v>
      </c>
      <c r="V11" s="112">
        <v>6820969</v>
      </c>
      <c r="W11" s="185">
        <f t="shared" si="12"/>
        <v>0.27777641352735338</v>
      </c>
    </row>
    <row r="12" spans="1:220" s="71" customFormat="1">
      <c r="A12" s="90">
        <v>2012</v>
      </c>
      <c r="B12" s="353">
        <v>27</v>
      </c>
      <c r="C12" s="353">
        <v>2.1800000000000002</v>
      </c>
      <c r="D12" s="108">
        <f t="shared" si="13"/>
        <v>29.18</v>
      </c>
      <c r="E12" s="109">
        <f t="shared" si="14"/>
        <v>16</v>
      </c>
      <c r="F12" s="109">
        <f t="shared" si="15"/>
        <v>15</v>
      </c>
      <c r="G12" s="113"/>
      <c r="H12" s="113"/>
      <c r="I12" s="353">
        <v>357</v>
      </c>
      <c r="J12" s="353">
        <v>25</v>
      </c>
      <c r="K12" s="108">
        <f t="shared" si="16"/>
        <v>382</v>
      </c>
      <c r="L12" s="353">
        <v>0</v>
      </c>
      <c r="M12" s="109">
        <f t="shared" si="17"/>
        <v>357</v>
      </c>
      <c r="N12" s="353">
        <v>26</v>
      </c>
      <c r="O12" s="353">
        <v>427</v>
      </c>
      <c r="P12" s="183">
        <f t="shared" si="11"/>
        <v>0.83606557377049184</v>
      </c>
      <c r="Q12" s="353">
        <v>162</v>
      </c>
      <c r="R12" s="353">
        <v>7</v>
      </c>
      <c r="S12" s="112">
        <v>18382299</v>
      </c>
      <c r="T12" s="110">
        <f t="shared" si="18"/>
        <v>21807315</v>
      </c>
      <c r="U12" s="112">
        <v>16111363</v>
      </c>
      <c r="V12" s="112">
        <v>5695952</v>
      </c>
      <c r="W12" s="185">
        <f t="shared" si="12"/>
        <v>0.26119455788115137</v>
      </c>
    </row>
    <row r="13" spans="1:220" s="71" customFormat="1">
      <c r="A13" s="90" t="s">
        <v>81</v>
      </c>
      <c r="B13" s="353">
        <v>29</v>
      </c>
      <c r="C13" s="353">
        <v>7.5</v>
      </c>
      <c r="D13" s="108">
        <f t="shared" si="13"/>
        <v>36.5</v>
      </c>
      <c r="E13" s="109">
        <f t="shared" si="14"/>
        <v>14</v>
      </c>
      <c r="F13" s="109">
        <f t="shared" si="15"/>
        <v>11</v>
      </c>
      <c r="G13" s="113"/>
      <c r="H13" s="113"/>
      <c r="I13" s="353">
        <v>349</v>
      </c>
      <c r="J13" s="353">
        <v>32</v>
      </c>
      <c r="K13" s="108">
        <f t="shared" si="16"/>
        <v>381</v>
      </c>
      <c r="L13" s="353">
        <v>18.38</v>
      </c>
      <c r="M13" s="109">
        <f t="shared" si="17"/>
        <v>367.38</v>
      </c>
      <c r="N13" s="353">
        <v>37</v>
      </c>
      <c r="O13" s="353">
        <v>416.38</v>
      </c>
      <c r="P13" s="183">
        <f t="shared" si="11"/>
        <v>0.88231903549642154</v>
      </c>
      <c r="Q13" s="353">
        <v>204</v>
      </c>
      <c r="R13" s="353">
        <v>9</v>
      </c>
      <c r="S13" s="112">
        <v>18350656</v>
      </c>
      <c r="T13" s="110">
        <f t="shared" si="18"/>
        <v>20927474</v>
      </c>
      <c r="U13" s="112">
        <v>15045384</v>
      </c>
      <c r="V13" s="112">
        <v>5882090</v>
      </c>
      <c r="W13" s="185">
        <f t="shared" si="12"/>
        <v>0.28107023332104009</v>
      </c>
    </row>
    <row r="14" spans="1:220" s="126" customFormat="1">
      <c r="A14" s="90" t="s">
        <v>82</v>
      </c>
      <c r="B14" s="353">
        <v>28</v>
      </c>
      <c r="C14" s="353">
        <v>4.51</v>
      </c>
      <c r="D14" s="108">
        <f t="shared" si="13"/>
        <v>32.51</v>
      </c>
      <c r="E14" s="109">
        <f t="shared" si="14"/>
        <v>15</v>
      </c>
      <c r="F14" s="109">
        <f t="shared" si="15"/>
        <v>13</v>
      </c>
      <c r="G14" s="113"/>
      <c r="H14" s="113"/>
      <c r="I14" s="353">
        <v>343</v>
      </c>
      <c r="J14" s="353">
        <v>35</v>
      </c>
      <c r="K14" s="108">
        <f t="shared" si="16"/>
        <v>378</v>
      </c>
      <c r="L14" s="353">
        <v>19.7</v>
      </c>
      <c r="M14" s="109">
        <f t="shared" si="17"/>
        <v>362.7</v>
      </c>
      <c r="N14" s="353">
        <v>72</v>
      </c>
      <c r="O14" s="353">
        <v>411.7</v>
      </c>
      <c r="P14" s="183">
        <f t="shared" si="11"/>
        <v>0.88098129706096673</v>
      </c>
      <c r="Q14" s="353">
        <v>157</v>
      </c>
      <c r="R14" s="353">
        <v>6</v>
      </c>
      <c r="S14" s="112">
        <v>17055067.440000001</v>
      </c>
      <c r="T14" s="110">
        <f t="shared" si="18"/>
        <v>18493938</v>
      </c>
      <c r="U14" s="112">
        <v>13024604</v>
      </c>
      <c r="V14" s="112">
        <v>5469334</v>
      </c>
      <c r="W14" s="185">
        <f t="shared" si="12"/>
        <v>0.29573658135979475</v>
      </c>
    </row>
    <row r="15" spans="1:220" s="126" customFormat="1">
      <c r="A15" s="90" t="s">
        <v>83</v>
      </c>
      <c r="B15" s="353">
        <v>29</v>
      </c>
      <c r="C15" s="353">
        <v>5.55</v>
      </c>
      <c r="D15" s="108">
        <f t="shared" si="13"/>
        <v>34.549999999999997</v>
      </c>
      <c r="E15" s="109">
        <f t="shared" si="14"/>
        <v>14</v>
      </c>
      <c r="F15" s="109">
        <f t="shared" si="15"/>
        <v>12</v>
      </c>
      <c r="G15" s="113"/>
      <c r="H15" s="113"/>
      <c r="I15" s="353">
        <v>327</v>
      </c>
      <c r="J15" s="353">
        <v>42</v>
      </c>
      <c r="K15" s="108">
        <f t="shared" si="16"/>
        <v>369</v>
      </c>
      <c r="L15" s="353">
        <v>26.26</v>
      </c>
      <c r="M15" s="109">
        <f t="shared" si="17"/>
        <v>353.26</v>
      </c>
      <c r="N15" s="353">
        <v>64</v>
      </c>
      <c r="O15" s="353">
        <v>403.26</v>
      </c>
      <c r="P15" s="183">
        <f t="shared" si="11"/>
        <v>0.87601051430838661</v>
      </c>
      <c r="Q15" s="353">
        <v>142</v>
      </c>
      <c r="R15" s="353">
        <v>4</v>
      </c>
      <c r="S15" s="112">
        <v>16627094</v>
      </c>
      <c r="T15" s="110">
        <f t="shared" si="18"/>
        <v>18118708</v>
      </c>
      <c r="U15" s="112">
        <v>12468875</v>
      </c>
      <c r="V15" s="112">
        <v>5649833</v>
      </c>
      <c r="W15" s="185">
        <f t="shared" si="12"/>
        <v>0.31182317193919123</v>
      </c>
    </row>
    <row r="16" spans="1:220" s="126" customFormat="1">
      <c r="A16" s="90" t="s">
        <v>84</v>
      </c>
      <c r="B16" s="353">
        <v>25</v>
      </c>
      <c r="C16" s="353">
        <v>7.65</v>
      </c>
      <c r="D16" s="108">
        <f t="shared" si="13"/>
        <v>32.65</v>
      </c>
      <c r="E16" s="109">
        <f t="shared" si="14"/>
        <v>15</v>
      </c>
      <c r="F16" s="109">
        <f t="shared" si="15"/>
        <v>12</v>
      </c>
      <c r="G16" s="113"/>
      <c r="H16" s="113"/>
      <c r="I16" s="353">
        <v>306</v>
      </c>
      <c r="J16" s="353">
        <v>44</v>
      </c>
      <c r="K16" s="108">
        <f t="shared" si="16"/>
        <v>350</v>
      </c>
      <c r="L16" s="353">
        <v>27.5</v>
      </c>
      <c r="M16" s="109">
        <f t="shared" si="17"/>
        <v>333.5</v>
      </c>
      <c r="N16" s="353">
        <v>44</v>
      </c>
      <c r="O16" s="353">
        <v>382</v>
      </c>
      <c r="P16" s="183">
        <f t="shared" si="11"/>
        <v>0.87303664921465973</v>
      </c>
      <c r="Q16" s="353">
        <v>124</v>
      </c>
      <c r="R16" s="353">
        <v>6</v>
      </c>
      <c r="S16" s="112">
        <v>18607255</v>
      </c>
      <c r="T16" s="110">
        <f t="shared" si="18"/>
        <v>21254682</v>
      </c>
      <c r="U16" s="112">
        <v>13857148</v>
      </c>
      <c r="V16" s="112">
        <v>7397534</v>
      </c>
      <c r="W16" s="185">
        <f t="shared" si="12"/>
        <v>0.34804256304563863</v>
      </c>
    </row>
    <row r="17" spans="1:23" s="126" customFormat="1">
      <c r="A17" s="90">
        <v>2007</v>
      </c>
      <c r="B17" s="353">
        <v>28</v>
      </c>
      <c r="C17" s="353">
        <v>6.9249999999999998</v>
      </c>
      <c r="D17" s="194">
        <f t="shared" si="13"/>
        <v>34.924999999999997</v>
      </c>
      <c r="E17" s="109">
        <f t="shared" si="14"/>
        <v>12</v>
      </c>
      <c r="F17" s="109">
        <f t="shared" si="15"/>
        <v>10</v>
      </c>
      <c r="G17" s="113"/>
      <c r="H17" s="113"/>
      <c r="I17" s="353">
        <v>282</v>
      </c>
      <c r="J17" s="353">
        <v>35</v>
      </c>
      <c r="K17" s="194">
        <f t="shared" si="16"/>
        <v>317</v>
      </c>
      <c r="L17" s="353">
        <v>21.88</v>
      </c>
      <c r="M17" s="109">
        <f t="shared" si="17"/>
        <v>303.88</v>
      </c>
      <c r="N17" s="353">
        <v>36</v>
      </c>
      <c r="O17" s="353">
        <v>349</v>
      </c>
      <c r="P17" s="183">
        <f t="shared" si="11"/>
        <v>0.87071633237822343</v>
      </c>
      <c r="Q17" s="353">
        <v>119</v>
      </c>
      <c r="R17" s="353">
        <v>2</v>
      </c>
      <c r="S17" s="192">
        <v>17394525</v>
      </c>
      <c r="T17" s="110">
        <f t="shared" si="18"/>
        <v>16582422</v>
      </c>
      <c r="U17" s="192">
        <v>10190184</v>
      </c>
      <c r="V17" s="192">
        <v>6392238</v>
      </c>
      <c r="W17" s="185">
        <f t="shared" si="12"/>
        <v>0.38548277205826748</v>
      </c>
    </row>
    <row r="18" spans="1:23" s="126" customFormat="1">
      <c r="A18" s="90">
        <v>2006</v>
      </c>
      <c r="B18" s="353">
        <v>29</v>
      </c>
      <c r="C18" s="353">
        <v>4</v>
      </c>
      <c r="D18" s="194">
        <f t="shared" si="13"/>
        <v>33</v>
      </c>
      <c r="E18" s="109">
        <f t="shared" si="14"/>
        <v>11</v>
      </c>
      <c r="F18" s="109">
        <f t="shared" si="15"/>
        <v>9</v>
      </c>
      <c r="G18" s="113"/>
      <c r="H18" s="113"/>
      <c r="I18" s="353">
        <v>242</v>
      </c>
      <c r="J18" s="353">
        <v>36</v>
      </c>
      <c r="K18" s="194">
        <f t="shared" si="16"/>
        <v>278</v>
      </c>
      <c r="L18" s="353">
        <v>23</v>
      </c>
      <c r="M18" s="109">
        <f t="shared" si="17"/>
        <v>265</v>
      </c>
      <c r="N18" s="353">
        <v>39</v>
      </c>
      <c r="O18" s="353">
        <v>306</v>
      </c>
      <c r="P18" s="183">
        <f t="shared" si="11"/>
        <v>0.86601307189542487</v>
      </c>
      <c r="Q18" s="353">
        <v>134</v>
      </c>
      <c r="R18" s="353">
        <v>6</v>
      </c>
      <c r="S18" s="192">
        <v>16643933</v>
      </c>
      <c r="T18" s="110">
        <f t="shared" si="18"/>
        <v>15244250</v>
      </c>
      <c r="U18" s="192">
        <v>10071487</v>
      </c>
      <c r="V18" s="192">
        <v>5172763</v>
      </c>
      <c r="W18" s="185">
        <f t="shared" si="12"/>
        <v>0.33932551617823115</v>
      </c>
    </row>
    <row r="19" spans="1:23" s="126" customFormat="1">
      <c r="A19" s="90">
        <v>2005</v>
      </c>
      <c r="B19" s="353">
        <v>28</v>
      </c>
      <c r="C19" s="353">
        <v>5</v>
      </c>
      <c r="D19" s="194">
        <f t="shared" si="13"/>
        <v>33</v>
      </c>
      <c r="E19" s="109">
        <f t="shared" si="14"/>
        <v>10</v>
      </c>
      <c r="F19" s="109">
        <f t="shared" si="15"/>
        <v>8</v>
      </c>
      <c r="G19" s="113"/>
      <c r="H19" s="113"/>
      <c r="I19" s="353">
        <v>208</v>
      </c>
      <c r="J19" s="353">
        <v>40</v>
      </c>
      <c r="K19" s="194">
        <f t="shared" si="16"/>
        <v>248</v>
      </c>
      <c r="L19" s="353">
        <v>25</v>
      </c>
      <c r="M19" s="109">
        <f t="shared" si="17"/>
        <v>233</v>
      </c>
      <c r="N19" s="353">
        <v>40</v>
      </c>
      <c r="O19" s="353">
        <v>269</v>
      </c>
      <c r="P19" s="183">
        <f t="shared" si="11"/>
        <v>0.86617100371747213</v>
      </c>
      <c r="Q19" s="353">
        <v>137</v>
      </c>
      <c r="R19" s="353">
        <v>5</v>
      </c>
      <c r="S19" s="192">
        <v>14782989</v>
      </c>
      <c r="T19" s="110">
        <f t="shared" si="18"/>
        <v>13778406</v>
      </c>
      <c r="U19" s="192">
        <v>9541762</v>
      </c>
      <c r="V19" s="192">
        <v>4236644</v>
      </c>
      <c r="W19" s="185">
        <f t="shared" si="12"/>
        <v>0.3074843345449394</v>
      </c>
    </row>
    <row r="20" spans="1:23" s="126" customFormat="1">
      <c r="A20" s="90">
        <v>2004</v>
      </c>
      <c r="B20" s="195">
        <v>26</v>
      </c>
      <c r="C20" s="195">
        <v>6.24</v>
      </c>
      <c r="D20" s="194">
        <f t="shared" si="13"/>
        <v>32.24</v>
      </c>
      <c r="E20" s="109">
        <f t="shared" si="14"/>
        <v>11</v>
      </c>
      <c r="F20" s="109">
        <f t="shared" si="15"/>
        <v>9</v>
      </c>
      <c r="G20" s="113"/>
      <c r="H20" s="113"/>
      <c r="I20" s="195">
        <v>231</v>
      </c>
      <c r="J20" s="195">
        <v>34</v>
      </c>
      <c r="K20" s="194">
        <f t="shared" si="16"/>
        <v>265</v>
      </c>
      <c r="L20" s="195">
        <v>21.2</v>
      </c>
      <c r="M20" s="109">
        <f t="shared" si="17"/>
        <v>252.2</v>
      </c>
      <c r="N20" s="195">
        <v>45</v>
      </c>
      <c r="O20" s="207">
        <v>284.26</v>
      </c>
      <c r="P20" s="183">
        <f t="shared" si="11"/>
        <v>0.88721592907901214</v>
      </c>
      <c r="Q20" s="195">
        <v>105</v>
      </c>
      <c r="R20" s="353">
        <v>2</v>
      </c>
      <c r="S20" s="192">
        <v>16765268</v>
      </c>
      <c r="T20" s="110">
        <f t="shared" si="18"/>
        <v>18963882</v>
      </c>
      <c r="U20" s="192">
        <v>9293633</v>
      </c>
      <c r="V20" s="192">
        <v>9670249</v>
      </c>
      <c r="W20" s="185">
        <f t="shared" si="12"/>
        <v>0.50992982344015847</v>
      </c>
    </row>
    <row r="21" spans="1:23" s="126" customFormat="1">
      <c r="A21" s="90">
        <v>2003</v>
      </c>
      <c r="B21" s="195">
        <v>26</v>
      </c>
      <c r="C21" s="195">
        <v>5</v>
      </c>
      <c r="D21" s="194">
        <f t="shared" si="13"/>
        <v>31</v>
      </c>
      <c r="E21" s="109">
        <f t="shared" si="14"/>
        <v>11</v>
      </c>
      <c r="F21" s="109">
        <f t="shared" si="15"/>
        <v>9</v>
      </c>
      <c r="G21" s="113"/>
      <c r="H21" s="113"/>
      <c r="I21" s="195">
        <v>238</v>
      </c>
      <c r="J21" s="195">
        <v>41</v>
      </c>
      <c r="K21" s="194">
        <f t="shared" si="16"/>
        <v>279</v>
      </c>
      <c r="L21" s="195">
        <v>26</v>
      </c>
      <c r="M21" s="109">
        <f t="shared" si="17"/>
        <v>264</v>
      </c>
      <c r="N21" s="195">
        <v>45</v>
      </c>
      <c r="O21" s="195">
        <v>292</v>
      </c>
      <c r="P21" s="183">
        <f t="shared" si="11"/>
        <v>0.90410958904109584</v>
      </c>
      <c r="Q21" s="195">
        <v>95</v>
      </c>
      <c r="R21" s="353">
        <v>1</v>
      </c>
      <c r="S21" s="192">
        <v>17547420</v>
      </c>
      <c r="T21" s="110">
        <f t="shared" si="18"/>
        <v>17135280</v>
      </c>
      <c r="U21" s="192">
        <v>8647148</v>
      </c>
      <c r="V21" s="192">
        <v>8488132</v>
      </c>
      <c r="W21" s="185">
        <f t="shared" si="12"/>
        <v>0.49535998244557428</v>
      </c>
    </row>
    <row r="22" spans="1:23" s="126" customFormat="1">
      <c r="A22" s="90">
        <v>2002</v>
      </c>
      <c r="B22" s="195">
        <v>22</v>
      </c>
      <c r="C22" s="195">
        <v>5.73</v>
      </c>
      <c r="D22" s="194">
        <f t="shared" si="13"/>
        <v>27.73</v>
      </c>
      <c r="E22" s="109">
        <f t="shared" si="14"/>
        <v>12</v>
      </c>
      <c r="F22" s="109">
        <f t="shared" si="15"/>
        <v>9</v>
      </c>
      <c r="G22" s="113"/>
      <c r="H22" s="113"/>
      <c r="I22" s="195">
        <v>202</v>
      </c>
      <c r="J22" s="195">
        <v>43</v>
      </c>
      <c r="K22" s="194">
        <f t="shared" si="16"/>
        <v>245</v>
      </c>
      <c r="L22" s="195">
        <f>ROUND(26.88, 0)</f>
        <v>27</v>
      </c>
      <c r="M22" s="109">
        <f t="shared" si="17"/>
        <v>229</v>
      </c>
      <c r="N22" s="195">
        <v>40</v>
      </c>
      <c r="O22" s="195">
        <f>ROUND(261.88, 0)</f>
        <v>262</v>
      </c>
      <c r="P22" s="183">
        <f t="shared" si="11"/>
        <v>0.87404580152671751</v>
      </c>
      <c r="Q22" s="195">
        <v>85</v>
      </c>
      <c r="R22" s="353">
        <v>1</v>
      </c>
      <c r="S22" s="192">
        <v>15623113</v>
      </c>
      <c r="T22" s="110">
        <f t="shared" si="18"/>
        <v>16394706</v>
      </c>
      <c r="U22" s="192">
        <v>8530724</v>
      </c>
      <c r="V22" s="192">
        <v>7863982</v>
      </c>
      <c r="W22" s="185">
        <f t="shared" si="12"/>
        <v>0.47966593606497121</v>
      </c>
    </row>
    <row r="23" spans="1:23" s="14" customFormat="1"/>
    <row r="24" spans="1:23" s="14" customFormat="1"/>
    <row r="25" spans="1:23" s="14" customFormat="1"/>
    <row r="26" spans="1:23" s="14" customFormat="1"/>
    <row r="27" spans="1:23" s="14" customFormat="1"/>
    <row r="28" spans="1:23" s="14" customFormat="1"/>
    <row r="29" spans="1:23" s="14" customFormat="1"/>
    <row r="30" spans="1:23" s="14" customFormat="1"/>
    <row r="31" spans="1:23" s="14" customFormat="1"/>
    <row r="32" spans="1:23" s="14" customFormat="1"/>
    <row r="33" s="14" customFormat="1"/>
  </sheetData>
  <protectedRanges>
    <protectedRange algorithmName="SHA-512" hashValue="msw+GJQM09R7M6nnPWHlwsVkqM22TsNpi1jhL2k8nCxr6lTtGwIImwrl60ElPyRQIsAVhQcxVxTxNxd28ugA+A==" saltValue="3uvgoCpJ7KmXsFgyxRmgag==" spinCount="100000" sqref="D5:F5 K5 M5 P5 T5 W5" name="Protecting Formulas"/>
    <protectedRange algorithmName="SHA-512" hashValue="msw+GJQM09R7M6nnPWHlwsVkqM22TsNpi1jhL2k8nCxr6lTtGwIImwrl60ElPyRQIsAVhQcxVxTxNxd28ugA+A==" saltValue="3uvgoCpJ7KmXsFgyxRmgag==" spinCount="100000" sqref="D4:F4 K4 M4 P4 W4" name="Protecting Formulas_2"/>
  </protectedRanges>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L33"/>
  <sheetViews>
    <sheetView topLeftCell="A2" workbookViewId="0">
      <selection activeCell="M32" sqref="M32"/>
    </sheetView>
  </sheetViews>
  <sheetFormatPr defaultColWidth="8.7109375" defaultRowHeight="15"/>
  <cols>
    <col min="1" max="1" width="10.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7109375" bestFit="1" customWidth="1"/>
    <col min="10" max="11" width="11.71093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7109375" bestFit="1" customWidth="1"/>
    <col min="20" max="20" width="12.7109375" bestFit="1" customWidth="1"/>
    <col min="21" max="21" width="10.42578125" bestFit="1" customWidth="1"/>
    <col min="22" max="22" width="10.7109375" bestFit="1" customWidth="1"/>
    <col min="23" max="23" width="12.7109375" bestFit="1" customWidth="1"/>
  </cols>
  <sheetData>
    <row r="1" spans="1:220" s="4" customFormat="1" hidden="1">
      <c r="A1" s="690" t="s">
        <v>133</v>
      </c>
      <c r="B1" s="690"/>
      <c r="C1" s="690"/>
    </row>
    <row r="2" spans="1:220" s="8" customFormat="1" ht="18.75">
      <c r="A2" s="1" t="s">
        <v>11</v>
      </c>
      <c r="B2" s="2"/>
      <c r="C2" s="1"/>
      <c r="D2" s="1"/>
      <c r="E2" s="1"/>
      <c r="F2" s="1"/>
      <c r="G2" s="1"/>
      <c r="H2" s="1"/>
      <c r="I2" s="1"/>
      <c r="J2" s="1"/>
      <c r="K2" s="1"/>
      <c r="L2" s="1"/>
      <c r="M2" s="1"/>
      <c r="N2" s="1"/>
      <c r="O2" s="1"/>
      <c r="P2" s="1"/>
      <c r="Q2" s="1"/>
      <c r="R2" s="1"/>
      <c r="S2" s="1"/>
      <c r="T2" s="1"/>
      <c r="U2" s="1"/>
      <c r="V2" s="1"/>
      <c r="W2" s="1"/>
    </row>
    <row r="3" spans="1:220" s="7" customFormat="1" ht="60">
      <c r="A3" s="6" t="s">
        <v>42</v>
      </c>
      <c r="B3" s="6" t="s">
        <v>25</v>
      </c>
      <c r="C3" s="6" t="s">
        <v>28</v>
      </c>
      <c r="D3" s="6" t="s">
        <v>29</v>
      </c>
      <c r="E3" s="6" t="s">
        <v>108</v>
      </c>
      <c r="F3" s="6" t="s">
        <v>30</v>
      </c>
      <c r="G3" s="6" t="s">
        <v>109</v>
      </c>
      <c r="H3" s="6" t="s">
        <v>110</v>
      </c>
      <c r="I3" s="6" t="s">
        <v>26</v>
      </c>
      <c r="J3" s="6" t="s">
        <v>31</v>
      </c>
      <c r="K3" s="6" t="s">
        <v>32</v>
      </c>
      <c r="L3" s="6" t="s">
        <v>33</v>
      </c>
      <c r="M3" s="6" t="s">
        <v>34</v>
      </c>
      <c r="N3" s="6" t="s">
        <v>35</v>
      </c>
      <c r="O3" s="6" t="s">
        <v>43</v>
      </c>
      <c r="P3" s="6" t="s">
        <v>36</v>
      </c>
      <c r="Q3" s="6" t="s">
        <v>44</v>
      </c>
      <c r="R3" s="6" t="s">
        <v>37</v>
      </c>
      <c r="S3" s="6" t="s">
        <v>38</v>
      </c>
      <c r="T3" s="6" t="s">
        <v>39</v>
      </c>
      <c r="U3" s="6" t="s">
        <v>27</v>
      </c>
      <c r="V3" s="6" t="s">
        <v>40</v>
      </c>
      <c r="W3" s="6" t="s">
        <v>41</v>
      </c>
    </row>
    <row r="4" spans="1:220" s="17" customFormat="1">
      <c r="A4" s="11">
        <v>2021</v>
      </c>
      <c r="B4" s="409">
        <v>13</v>
      </c>
      <c r="C4" s="409">
        <v>20</v>
      </c>
      <c r="D4" s="567">
        <v>26.2</v>
      </c>
      <c r="E4" s="568">
        <v>31</v>
      </c>
      <c r="F4" s="569">
        <v>15.77</v>
      </c>
      <c r="G4" s="409">
        <v>7</v>
      </c>
      <c r="H4" s="409">
        <v>8</v>
      </c>
      <c r="I4" s="409">
        <v>118</v>
      </c>
      <c r="J4" s="409">
        <v>245</v>
      </c>
      <c r="K4" s="455">
        <v>363</v>
      </c>
      <c r="L4" s="409">
        <v>187</v>
      </c>
      <c r="M4" s="456">
        <v>305</v>
      </c>
      <c r="N4" s="409">
        <v>42</v>
      </c>
      <c r="O4" s="409">
        <v>410</v>
      </c>
      <c r="P4" s="457">
        <v>74.400000000000006</v>
      </c>
      <c r="Q4" s="409">
        <v>80</v>
      </c>
      <c r="R4" s="409">
        <v>14</v>
      </c>
      <c r="S4" s="414">
        <v>2134922</v>
      </c>
      <c r="T4" s="458">
        <v>1748175.46</v>
      </c>
      <c r="U4" s="414">
        <v>1428915.24</v>
      </c>
      <c r="V4" s="414">
        <v>319260.21999999997</v>
      </c>
      <c r="W4" s="335">
        <v>0.18260000000000001</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2020</v>
      </c>
      <c r="B5" s="409">
        <v>16</v>
      </c>
      <c r="C5" s="409">
        <v>22</v>
      </c>
      <c r="D5" s="567">
        <v>28</v>
      </c>
      <c r="E5" s="568">
        <f>ROUND((O5/B5), 0)</f>
        <v>20</v>
      </c>
      <c r="F5" s="569">
        <v>10.5</v>
      </c>
      <c r="G5" s="409">
        <v>8</v>
      </c>
      <c r="H5" s="409">
        <v>8.5</v>
      </c>
      <c r="I5" s="409">
        <v>90</v>
      </c>
      <c r="J5" s="409">
        <v>261</v>
      </c>
      <c r="K5" s="455">
        <f>I5+J5</f>
        <v>351</v>
      </c>
      <c r="L5" s="409">
        <v>141</v>
      </c>
      <c r="M5" s="456">
        <f>(I5+L5)</f>
        <v>231</v>
      </c>
      <c r="N5" s="409">
        <v>46</v>
      </c>
      <c r="O5" s="409">
        <v>323</v>
      </c>
      <c r="P5" s="457">
        <f t="shared" ref="P5" si="0">M5/O5</f>
        <v>0.71517027863777094</v>
      </c>
      <c r="Q5" s="409">
        <v>74</v>
      </c>
      <c r="R5" s="409">
        <v>18</v>
      </c>
      <c r="S5" s="414">
        <v>3143650</v>
      </c>
      <c r="T5" s="458">
        <v>2282915</v>
      </c>
      <c r="U5" s="414">
        <v>2275915</v>
      </c>
      <c r="V5" s="414">
        <v>6540</v>
      </c>
      <c r="W5" s="335">
        <f t="shared" ref="W5" si="1">V5/T5</f>
        <v>2.8647584338444489E-3</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11">
        <v>2019</v>
      </c>
      <c r="B6" s="409">
        <v>15</v>
      </c>
      <c r="C6" s="409">
        <v>17</v>
      </c>
      <c r="D6" s="455">
        <v>32</v>
      </c>
      <c r="E6" s="456">
        <v>11</v>
      </c>
      <c r="F6" s="456">
        <v>5</v>
      </c>
      <c r="G6" s="409">
        <v>8</v>
      </c>
      <c r="H6" s="409">
        <v>2.75</v>
      </c>
      <c r="I6" s="409">
        <v>67</v>
      </c>
      <c r="J6" s="409">
        <v>215</v>
      </c>
      <c r="K6" s="455">
        <v>282</v>
      </c>
      <c r="L6" s="409">
        <v>118</v>
      </c>
      <c r="M6" s="456">
        <v>187</v>
      </c>
      <c r="N6" s="409">
        <v>38</v>
      </c>
      <c r="O6" s="409">
        <v>265</v>
      </c>
      <c r="P6" s="457">
        <v>0.7</v>
      </c>
      <c r="Q6" s="409"/>
      <c r="R6" s="409"/>
      <c r="S6" s="414">
        <v>1497922</v>
      </c>
      <c r="T6" s="458">
        <v>1658589</v>
      </c>
      <c r="U6" s="414">
        <v>1022404</v>
      </c>
      <c r="V6" s="414">
        <v>636185</v>
      </c>
      <c r="W6" s="335">
        <f>V6/T6</f>
        <v>0.38357001041246508</v>
      </c>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c r="DE6" s="285"/>
      <c r="DF6" s="285"/>
      <c r="DG6" s="285"/>
      <c r="DH6" s="285"/>
      <c r="DI6" s="285"/>
      <c r="DJ6" s="285"/>
      <c r="DK6" s="285"/>
      <c r="DL6" s="285"/>
      <c r="DM6" s="285"/>
      <c r="DN6" s="285"/>
      <c r="DO6" s="285"/>
      <c r="DP6" s="285"/>
      <c r="DQ6" s="285"/>
      <c r="DR6" s="285"/>
      <c r="DS6" s="285"/>
      <c r="DT6" s="285"/>
      <c r="DU6" s="285"/>
      <c r="DV6" s="285"/>
      <c r="DW6" s="285"/>
      <c r="DX6" s="285"/>
      <c r="DY6" s="285"/>
      <c r="DZ6" s="285"/>
      <c r="EA6" s="285"/>
      <c r="EB6" s="285"/>
      <c r="EC6" s="285"/>
      <c r="ED6" s="285"/>
      <c r="EE6" s="285"/>
      <c r="EF6" s="285"/>
      <c r="EG6" s="285"/>
      <c r="EH6" s="285"/>
      <c r="EI6" s="285"/>
      <c r="EJ6" s="285"/>
      <c r="EK6" s="285"/>
      <c r="EL6" s="285"/>
      <c r="EM6" s="285"/>
      <c r="EN6" s="285"/>
      <c r="EO6" s="285"/>
      <c r="EP6" s="285"/>
      <c r="EQ6" s="285"/>
      <c r="ER6" s="285"/>
      <c r="ES6" s="285"/>
      <c r="ET6" s="285"/>
      <c r="EU6" s="285"/>
      <c r="EV6" s="285"/>
      <c r="EW6" s="285"/>
      <c r="EX6" s="285"/>
      <c r="EY6" s="285"/>
      <c r="EZ6" s="285"/>
      <c r="FA6" s="285"/>
      <c r="FB6" s="285"/>
      <c r="FC6" s="285"/>
      <c r="FD6" s="285"/>
      <c r="FE6" s="285"/>
      <c r="FF6" s="285"/>
      <c r="FG6" s="285"/>
      <c r="FH6" s="285"/>
      <c r="FI6" s="285"/>
      <c r="FJ6" s="285"/>
      <c r="FK6" s="285"/>
      <c r="FL6" s="285"/>
      <c r="FM6" s="285"/>
      <c r="FN6" s="285"/>
      <c r="FO6" s="285"/>
      <c r="FP6" s="285"/>
      <c r="FQ6" s="285"/>
      <c r="FR6" s="285"/>
      <c r="FS6" s="285"/>
      <c r="FT6" s="285"/>
      <c r="FU6" s="285"/>
      <c r="FV6" s="285"/>
      <c r="FW6" s="285"/>
      <c r="FX6" s="285"/>
      <c r="FY6" s="285"/>
      <c r="FZ6" s="285"/>
      <c r="GA6" s="285"/>
      <c r="GB6" s="285"/>
      <c r="GC6" s="285"/>
      <c r="GD6" s="285"/>
      <c r="GE6" s="285"/>
      <c r="GF6" s="285"/>
      <c r="GG6" s="285"/>
      <c r="GH6" s="285"/>
      <c r="GI6" s="285"/>
      <c r="GJ6" s="285"/>
      <c r="GK6" s="285"/>
      <c r="GL6" s="285"/>
      <c r="GM6" s="285"/>
      <c r="GN6" s="285"/>
      <c r="GO6" s="285"/>
      <c r="GP6" s="285"/>
      <c r="GQ6" s="285"/>
      <c r="GR6" s="285"/>
      <c r="GS6" s="285"/>
      <c r="GT6" s="285"/>
      <c r="GU6" s="285"/>
      <c r="GV6" s="285"/>
      <c r="GW6" s="285"/>
      <c r="GX6" s="285"/>
      <c r="GY6" s="285"/>
      <c r="GZ6" s="285"/>
      <c r="HA6" s="285"/>
      <c r="HB6" s="285"/>
      <c r="HC6" s="285"/>
      <c r="HD6" s="285"/>
      <c r="HE6" s="285"/>
      <c r="HF6" s="285"/>
      <c r="HG6" s="285"/>
      <c r="HH6" s="285"/>
      <c r="HI6" s="285"/>
      <c r="HJ6" s="285"/>
      <c r="HK6" s="285"/>
      <c r="HL6" s="285"/>
    </row>
    <row r="7" spans="1:220" s="17" customFormat="1">
      <c r="A7" s="33">
        <v>2018</v>
      </c>
      <c r="B7" s="20">
        <v>15</v>
      </c>
      <c r="C7" s="20">
        <v>17</v>
      </c>
      <c r="D7" s="29">
        <f>SUM(B7:C7)</f>
        <v>32</v>
      </c>
      <c r="E7" s="172">
        <f>ROUND((O7/B7), 0)</f>
        <v>11</v>
      </c>
      <c r="F7" s="172">
        <f>ROUND((O7/D7), 0)</f>
        <v>5</v>
      </c>
      <c r="G7" s="20">
        <v>8</v>
      </c>
      <c r="H7" s="20">
        <v>2.75</v>
      </c>
      <c r="I7" s="20">
        <v>57</v>
      </c>
      <c r="J7" s="20">
        <v>143</v>
      </c>
      <c r="K7" s="29">
        <f t="shared" ref="K7" si="2">SUM(I7:J7)</f>
        <v>200</v>
      </c>
      <c r="L7" s="20">
        <v>80</v>
      </c>
      <c r="M7" s="172">
        <f>(I7+L7)</f>
        <v>137</v>
      </c>
      <c r="N7" s="20">
        <v>26</v>
      </c>
      <c r="O7" s="20">
        <v>165</v>
      </c>
      <c r="P7" s="183">
        <f>M7/O7</f>
        <v>0.83030303030303032</v>
      </c>
      <c r="Q7" s="20">
        <v>44</v>
      </c>
      <c r="R7" s="20">
        <v>58</v>
      </c>
      <c r="S7" s="24">
        <v>1523666.9378000002</v>
      </c>
      <c r="T7" s="30">
        <f>SUM(U7:V7)</f>
        <v>1797056</v>
      </c>
      <c r="U7" s="24">
        <v>1207871</v>
      </c>
      <c r="V7" s="24">
        <v>589185</v>
      </c>
      <c r="W7" s="185">
        <f>V7/T7</f>
        <v>0.32786123526478861</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row>
    <row r="8" spans="1:220" s="10" customFormat="1">
      <c r="A8" s="33">
        <v>2017</v>
      </c>
      <c r="B8" s="20">
        <v>16</v>
      </c>
      <c r="C8" s="20">
        <v>6</v>
      </c>
      <c r="D8" s="34">
        <f>SUM(B8:C8)</f>
        <v>22</v>
      </c>
      <c r="E8" s="34">
        <f>ROUND((O8/B8), 0)</f>
        <v>15</v>
      </c>
      <c r="F8" s="34">
        <f>ROUND((O8/D8), 0)</f>
        <v>11</v>
      </c>
      <c r="G8" s="20">
        <v>9</v>
      </c>
      <c r="H8" s="20">
        <v>0.25</v>
      </c>
      <c r="I8" s="20">
        <v>66</v>
      </c>
      <c r="J8" s="20">
        <v>99</v>
      </c>
      <c r="K8" s="34">
        <f>SUM(I8:J8)</f>
        <v>165</v>
      </c>
      <c r="L8" s="20">
        <v>55</v>
      </c>
      <c r="M8" s="36">
        <f>(I8+L8)</f>
        <v>121</v>
      </c>
      <c r="N8" s="344">
        <v>14</v>
      </c>
      <c r="O8" s="344">
        <v>235</v>
      </c>
      <c r="P8" s="183">
        <f t="shared" ref="P8:P23" si="3">M8/O8</f>
        <v>0.51489361702127656</v>
      </c>
      <c r="Q8" s="20">
        <v>62</v>
      </c>
      <c r="R8" s="20">
        <v>72</v>
      </c>
      <c r="S8" s="300">
        <v>1804406.0463</v>
      </c>
      <c r="T8" s="35">
        <f>SUM(U8:V8)</f>
        <v>1928043</v>
      </c>
      <c r="U8" s="341">
        <v>1433053</v>
      </c>
      <c r="V8" s="24">
        <v>494990</v>
      </c>
      <c r="W8" s="185">
        <f t="shared" ref="W8:W23" si="4">V8/T8</f>
        <v>0.256731826001806</v>
      </c>
    </row>
    <row r="9" spans="1:220" s="65" customFormat="1">
      <c r="A9" s="95">
        <v>2016</v>
      </c>
      <c r="B9" s="63">
        <v>14</v>
      </c>
      <c r="C9" s="63">
        <v>10</v>
      </c>
      <c r="D9" s="81">
        <f>SUM(B9:C9)</f>
        <v>24</v>
      </c>
      <c r="E9" s="82">
        <f>ROUND((O9/B9), 0)</f>
        <v>8</v>
      </c>
      <c r="F9" s="82">
        <f>ROUND((O9/D9), 0)</f>
        <v>5</v>
      </c>
      <c r="G9" s="83">
        <v>7</v>
      </c>
      <c r="H9" s="83">
        <v>4</v>
      </c>
      <c r="I9" s="63">
        <v>45</v>
      </c>
      <c r="J9" s="63">
        <v>99</v>
      </c>
      <c r="K9" s="81">
        <f>I9+J9</f>
        <v>144</v>
      </c>
      <c r="L9" s="63">
        <v>53</v>
      </c>
      <c r="M9" s="82">
        <f>I9+L9</f>
        <v>98</v>
      </c>
      <c r="N9" s="63">
        <v>12</v>
      </c>
      <c r="O9" s="63">
        <v>111</v>
      </c>
      <c r="P9" s="183">
        <f t="shared" si="3"/>
        <v>0.88288288288288286</v>
      </c>
      <c r="Q9" s="63">
        <v>44</v>
      </c>
      <c r="R9" s="63">
        <v>58</v>
      </c>
      <c r="S9" s="69">
        <v>2286801</v>
      </c>
      <c r="T9" s="85">
        <f>SUM(U9:V9)</f>
        <v>2286801</v>
      </c>
      <c r="U9" s="69">
        <v>1485600</v>
      </c>
      <c r="V9" s="69">
        <v>801201</v>
      </c>
      <c r="W9" s="185">
        <f t="shared" si="4"/>
        <v>0.35035886375771219</v>
      </c>
    </row>
    <row r="10" spans="1:220" s="105" customFormat="1">
      <c r="A10" s="90">
        <v>2015</v>
      </c>
      <c r="B10" s="91">
        <v>6</v>
      </c>
      <c r="C10" s="91">
        <v>6.5</v>
      </c>
      <c r="D10" s="81">
        <v>12.5</v>
      </c>
      <c r="E10" s="81">
        <v>21.8</v>
      </c>
      <c r="F10" s="81">
        <v>10.5</v>
      </c>
      <c r="G10" s="111"/>
      <c r="H10" s="111"/>
      <c r="I10" s="91">
        <v>62</v>
      </c>
      <c r="J10" s="91">
        <v>75</v>
      </c>
      <c r="K10" s="81">
        <v>137</v>
      </c>
      <c r="L10" s="91">
        <v>41</v>
      </c>
      <c r="M10" s="81">
        <v>103</v>
      </c>
      <c r="N10" s="91">
        <v>13</v>
      </c>
      <c r="O10" s="91">
        <v>131</v>
      </c>
      <c r="P10" s="183">
        <f t="shared" si="3"/>
        <v>0.7862595419847328</v>
      </c>
      <c r="Q10" s="91">
        <v>68</v>
      </c>
      <c r="R10" s="91">
        <v>8</v>
      </c>
      <c r="S10" s="102">
        <v>2318607</v>
      </c>
      <c r="T10" s="103">
        <v>1919135</v>
      </c>
      <c r="U10" s="102">
        <v>1485600</v>
      </c>
      <c r="V10" s="102">
        <v>433535</v>
      </c>
      <c r="W10" s="185">
        <f t="shared" si="4"/>
        <v>0.22590125238714318</v>
      </c>
    </row>
    <row r="11" spans="1:220" s="105" customFormat="1">
      <c r="A11" s="90">
        <v>2014</v>
      </c>
      <c r="B11" s="91">
        <v>8</v>
      </c>
      <c r="C11" s="91">
        <v>4</v>
      </c>
      <c r="D11" s="81">
        <f t="shared" ref="D11:D23" si="5">SUM(B11:C11)</f>
        <v>12</v>
      </c>
      <c r="E11" s="82">
        <f t="shared" ref="E11:E23" si="6">ROUND((O11/B11), 0)</f>
        <v>16</v>
      </c>
      <c r="F11" s="82">
        <f t="shared" ref="F11:F23" si="7">ROUND((O11/D11), 0)</f>
        <v>10</v>
      </c>
      <c r="G11" s="111"/>
      <c r="H11" s="111"/>
      <c r="I11" s="91">
        <v>45</v>
      </c>
      <c r="J11" s="91">
        <v>113</v>
      </c>
      <c r="K11" s="81">
        <f>I11+J11</f>
        <v>158</v>
      </c>
      <c r="L11" s="91">
        <v>60.77</v>
      </c>
      <c r="M11" s="82">
        <f>I11+L11</f>
        <v>105.77000000000001</v>
      </c>
      <c r="N11" s="91">
        <v>8</v>
      </c>
      <c r="O11" s="91">
        <v>125</v>
      </c>
      <c r="P11" s="183">
        <f t="shared" si="3"/>
        <v>0.84616000000000013</v>
      </c>
      <c r="Q11" s="91">
        <v>63</v>
      </c>
      <c r="R11" s="91">
        <v>4</v>
      </c>
      <c r="S11" s="92">
        <v>1930003</v>
      </c>
      <c r="T11" s="85">
        <f t="shared" ref="T11:T23" si="8">SUM(U11:V11)</f>
        <v>1846268</v>
      </c>
      <c r="U11" s="92">
        <v>1474642</v>
      </c>
      <c r="V11" s="92">
        <v>371626</v>
      </c>
      <c r="W11" s="185">
        <f t="shared" si="4"/>
        <v>0.2012849705459879</v>
      </c>
    </row>
    <row r="12" spans="1:220" s="71" customFormat="1">
      <c r="A12" s="90">
        <v>2013</v>
      </c>
      <c r="B12" s="361">
        <v>8</v>
      </c>
      <c r="C12" s="361">
        <v>4</v>
      </c>
      <c r="D12" s="108">
        <f t="shared" si="5"/>
        <v>12</v>
      </c>
      <c r="E12" s="109">
        <f t="shared" si="6"/>
        <v>18</v>
      </c>
      <c r="F12" s="109">
        <f t="shared" si="7"/>
        <v>12</v>
      </c>
      <c r="G12" s="113"/>
      <c r="H12" s="113"/>
      <c r="I12" s="361">
        <v>40</v>
      </c>
      <c r="J12" s="361">
        <v>141</v>
      </c>
      <c r="K12" s="108">
        <f>I12+J12</f>
        <v>181</v>
      </c>
      <c r="L12" s="361">
        <v>74</v>
      </c>
      <c r="M12" s="109">
        <f>I12+L12</f>
        <v>114</v>
      </c>
      <c r="N12" s="361">
        <v>7</v>
      </c>
      <c r="O12" s="361">
        <v>140</v>
      </c>
      <c r="P12" s="183">
        <f t="shared" si="3"/>
        <v>0.81428571428571428</v>
      </c>
      <c r="Q12" s="361">
        <v>89</v>
      </c>
      <c r="R12" s="361">
        <v>8</v>
      </c>
      <c r="S12" s="112">
        <v>1910136</v>
      </c>
      <c r="T12" s="110">
        <f t="shared" si="8"/>
        <v>1856491</v>
      </c>
      <c r="U12" s="112">
        <v>1499142</v>
      </c>
      <c r="V12" s="112">
        <v>357349</v>
      </c>
      <c r="W12" s="185">
        <f t="shared" si="4"/>
        <v>0.19248625498319141</v>
      </c>
    </row>
    <row r="13" spans="1:220" s="71" customFormat="1">
      <c r="A13" s="90">
        <v>2012</v>
      </c>
      <c r="B13" s="361">
        <v>8</v>
      </c>
      <c r="C13" s="361">
        <v>3</v>
      </c>
      <c r="D13" s="108">
        <f t="shared" si="5"/>
        <v>11</v>
      </c>
      <c r="E13" s="109">
        <f t="shared" si="6"/>
        <v>23</v>
      </c>
      <c r="F13" s="109">
        <f t="shared" si="7"/>
        <v>17</v>
      </c>
      <c r="G13" s="113"/>
      <c r="H13" s="113"/>
      <c r="I13" s="361">
        <v>56</v>
      </c>
      <c r="J13" s="361">
        <v>162</v>
      </c>
      <c r="K13" s="108">
        <f>I13+J13</f>
        <v>218</v>
      </c>
      <c r="L13" s="361">
        <v>87</v>
      </c>
      <c r="M13" s="109">
        <f>I13+L13</f>
        <v>143</v>
      </c>
      <c r="N13" s="361">
        <v>3</v>
      </c>
      <c r="O13" s="361">
        <v>186</v>
      </c>
      <c r="P13" s="183">
        <f t="shared" si="3"/>
        <v>0.76881720430107525</v>
      </c>
      <c r="Q13" s="361">
        <v>116</v>
      </c>
      <c r="R13" s="361">
        <v>4</v>
      </c>
      <c r="S13" s="112">
        <v>1878234</v>
      </c>
      <c r="T13" s="110">
        <f t="shared" si="8"/>
        <v>1878264</v>
      </c>
      <c r="U13" s="112">
        <v>1465348</v>
      </c>
      <c r="V13" s="112">
        <v>412916</v>
      </c>
      <c r="W13" s="185">
        <f t="shared" si="4"/>
        <v>0.21983917063841932</v>
      </c>
    </row>
    <row r="14" spans="1:220" s="71" customFormat="1">
      <c r="A14" s="90" t="s">
        <v>81</v>
      </c>
      <c r="B14" s="361">
        <v>7</v>
      </c>
      <c r="C14" s="361">
        <v>3</v>
      </c>
      <c r="D14" s="108">
        <f t="shared" si="5"/>
        <v>10</v>
      </c>
      <c r="E14" s="109">
        <f t="shared" si="6"/>
        <v>29</v>
      </c>
      <c r="F14" s="109">
        <f t="shared" si="7"/>
        <v>20</v>
      </c>
      <c r="G14" s="113"/>
      <c r="H14" s="113"/>
      <c r="I14" s="361">
        <v>76</v>
      </c>
      <c r="J14" s="361">
        <v>189</v>
      </c>
      <c r="K14" s="108">
        <f t="shared" ref="K14:K23" si="9">SUM(I14:J14)</f>
        <v>265</v>
      </c>
      <c r="L14" s="361">
        <v>101</v>
      </c>
      <c r="M14" s="109">
        <f t="shared" ref="M14:M23" si="10">(I14+L14)</f>
        <v>177</v>
      </c>
      <c r="N14" s="361">
        <v>11</v>
      </c>
      <c r="O14" s="361">
        <v>203</v>
      </c>
      <c r="P14" s="183">
        <f t="shared" si="3"/>
        <v>0.8719211822660099</v>
      </c>
      <c r="Q14" s="361">
        <v>97</v>
      </c>
      <c r="R14" s="361">
        <v>7</v>
      </c>
      <c r="S14" s="112">
        <v>1549044</v>
      </c>
      <c r="T14" s="110">
        <f t="shared" si="8"/>
        <v>2008061</v>
      </c>
      <c r="U14" s="112">
        <v>1437015</v>
      </c>
      <c r="V14" s="112">
        <v>571046</v>
      </c>
      <c r="W14" s="185">
        <f t="shared" si="4"/>
        <v>0.28437681923009311</v>
      </c>
    </row>
    <row r="15" spans="1:220" s="71" customFormat="1">
      <c r="A15" s="90" t="s">
        <v>82</v>
      </c>
      <c r="B15" s="361">
        <v>8</v>
      </c>
      <c r="C15" s="361">
        <v>4.75</v>
      </c>
      <c r="D15" s="108">
        <f t="shared" si="5"/>
        <v>12.75</v>
      </c>
      <c r="E15" s="109">
        <f t="shared" si="6"/>
        <v>30</v>
      </c>
      <c r="F15" s="109">
        <f t="shared" si="7"/>
        <v>19</v>
      </c>
      <c r="G15" s="113"/>
      <c r="H15" s="113"/>
      <c r="I15" s="361">
        <v>94</v>
      </c>
      <c r="J15" s="361">
        <v>206</v>
      </c>
      <c r="K15" s="108">
        <f t="shared" si="9"/>
        <v>300</v>
      </c>
      <c r="L15" s="361">
        <v>112.53</v>
      </c>
      <c r="M15" s="109">
        <f t="shared" si="10"/>
        <v>206.53</v>
      </c>
      <c r="N15" s="361">
        <v>6</v>
      </c>
      <c r="O15" s="361">
        <v>237.19</v>
      </c>
      <c r="P15" s="183">
        <f t="shared" si="3"/>
        <v>0.87073654032632064</v>
      </c>
      <c r="Q15" s="361">
        <v>99</v>
      </c>
      <c r="R15" s="361">
        <v>9</v>
      </c>
      <c r="S15" s="112">
        <v>1900247</v>
      </c>
      <c r="T15" s="110">
        <f t="shared" si="8"/>
        <v>1900247</v>
      </c>
      <c r="U15" s="112">
        <v>1400300</v>
      </c>
      <c r="V15" s="112">
        <v>499947</v>
      </c>
      <c r="W15" s="185">
        <f t="shared" si="4"/>
        <v>0.26309579754631895</v>
      </c>
    </row>
    <row r="16" spans="1:220" s="71" customFormat="1">
      <c r="A16" s="90" t="s">
        <v>83</v>
      </c>
      <c r="B16" s="361">
        <v>7</v>
      </c>
      <c r="C16" s="361">
        <v>4.75</v>
      </c>
      <c r="D16" s="108">
        <f t="shared" si="5"/>
        <v>11.75</v>
      </c>
      <c r="E16" s="109">
        <f t="shared" si="6"/>
        <v>31</v>
      </c>
      <c r="F16" s="109">
        <f t="shared" si="7"/>
        <v>19</v>
      </c>
      <c r="G16" s="113"/>
      <c r="H16" s="113"/>
      <c r="I16" s="361">
        <v>102</v>
      </c>
      <c r="J16" s="361">
        <v>192</v>
      </c>
      <c r="K16" s="108">
        <f t="shared" si="9"/>
        <v>294</v>
      </c>
      <c r="L16" s="361">
        <v>108.43</v>
      </c>
      <c r="M16" s="109">
        <f t="shared" si="10"/>
        <v>210.43</v>
      </c>
      <c r="N16" s="361">
        <v>11</v>
      </c>
      <c r="O16" s="361">
        <v>220.4</v>
      </c>
      <c r="P16" s="183">
        <f t="shared" si="3"/>
        <v>0.9547640653357532</v>
      </c>
      <c r="Q16" s="361">
        <v>83</v>
      </c>
      <c r="R16" s="361">
        <v>3</v>
      </c>
      <c r="S16" s="112">
        <v>1876256.86</v>
      </c>
      <c r="T16" s="110">
        <f t="shared" si="8"/>
        <v>1876257</v>
      </c>
      <c r="U16" s="112">
        <v>1400303</v>
      </c>
      <c r="V16" s="112">
        <v>475954</v>
      </c>
      <c r="W16" s="185">
        <f t="shared" si="4"/>
        <v>0.25367207157654842</v>
      </c>
    </row>
    <row r="17" spans="1:23" s="71" customFormat="1">
      <c r="A17" s="90" t="s">
        <v>84</v>
      </c>
      <c r="B17" s="361">
        <v>7</v>
      </c>
      <c r="C17" s="361">
        <v>4</v>
      </c>
      <c r="D17" s="108">
        <f t="shared" si="5"/>
        <v>11</v>
      </c>
      <c r="E17" s="109">
        <f t="shared" si="6"/>
        <v>34</v>
      </c>
      <c r="F17" s="109">
        <f t="shared" si="7"/>
        <v>22</v>
      </c>
      <c r="G17" s="113"/>
      <c r="H17" s="113"/>
      <c r="I17" s="361">
        <v>102</v>
      </c>
      <c r="J17" s="361">
        <v>182</v>
      </c>
      <c r="K17" s="108">
        <f t="shared" si="9"/>
        <v>284</v>
      </c>
      <c r="L17" s="361">
        <v>98.9</v>
      </c>
      <c r="M17" s="109">
        <f t="shared" si="10"/>
        <v>200.9</v>
      </c>
      <c r="N17" s="361">
        <v>11</v>
      </c>
      <c r="O17" s="361">
        <v>237</v>
      </c>
      <c r="P17" s="183">
        <f t="shared" si="3"/>
        <v>0.84767932489451481</v>
      </c>
      <c r="Q17" s="361">
        <v>73</v>
      </c>
      <c r="R17" s="361">
        <v>9</v>
      </c>
      <c r="S17" s="112">
        <v>1621563.04</v>
      </c>
      <c r="T17" s="110">
        <f t="shared" si="8"/>
        <v>1621563</v>
      </c>
      <c r="U17" s="112">
        <v>1468526</v>
      </c>
      <c r="V17" s="112">
        <v>153037</v>
      </c>
      <c r="W17" s="185">
        <f t="shared" si="4"/>
        <v>9.4376228367322151E-2</v>
      </c>
    </row>
    <row r="18" spans="1:23" s="71" customFormat="1">
      <c r="A18" s="90">
        <v>2007</v>
      </c>
      <c r="B18" s="361">
        <v>8</v>
      </c>
      <c r="C18" s="361">
        <v>3.25</v>
      </c>
      <c r="D18" s="194">
        <f t="shared" si="5"/>
        <v>11.25</v>
      </c>
      <c r="E18" s="109">
        <f t="shared" si="6"/>
        <v>25</v>
      </c>
      <c r="F18" s="109">
        <f t="shared" si="7"/>
        <v>18</v>
      </c>
      <c r="G18" s="113"/>
      <c r="H18" s="113"/>
      <c r="I18" s="361">
        <v>71</v>
      </c>
      <c r="J18" s="361">
        <v>162</v>
      </c>
      <c r="K18" s="194">
        <f t="shared" si="9"/>
        <v>233</v>
      </c>
      <c r="L18" s="361">
        <v>88.34</v>
      </c>
      <c r="M18" s="109">
        <f t="shared" si="10"/>
        <v>159.34</v>
      </c>
      <c r="N18" s="361">
        <v>8</v>
      </c>
      <c r="O18" s="361">
        <v>203</v>
      </c>
      <c r="P18" s="183">
        <f t="shared" si="3"/>
        <v>0.78492610837438426</v>
      </c>
      <c r="Q18" s="361">
        <v>94</v>
      </c>
      <c r="R18" s="361">
        <v>4</v>
      </c>
      <c r="S18" s="192">
        <v>1468330</v>
      </c>
      <c r="T18" s="110">
        <f t="shared" si="8"/>
        <v>1468330</v>
      </c>
      <c r="U18" s="192">
        <v>1260161</v>
      </c>
      <c r="V18" s="192">
        <v>208169</v>
      </c>
      <c r="W18" s="185">
        <f t="shared" si="4"/>
        <v>0.14177262604455401</v>
      </c>
    </row>
    <row r="19" spans="1:23" s="71" customFormat="1">
      <c r="A19" s="90">
        <v>2006</v>
      </c>
      <c r="B19" s="361">
        <v>8</v>
      </c>
      <c r="C19" s="361">
        <v>4</v>
      </c>
      <c r="D19" s="194">
        <f t="shared" si="5"/>
        <v>12</v>
      </c>
      <c r="E19" s="109">
        <f t="shared" si="6"/>
        <v>25</v>
      </c>
      <c r="F19" s="109">
        <f t="shared" si="7"/>
        <v>17</v>
      </c>
      <c r="G19" s="113"/>
      <c r="H19" s="113"/>
      <c r="I19" s="361">
        <v>69</v>
      </c>
      <c r="J19" s="361">
        <v>164</v>
      </c>
      <c r="K19" s="194">
        <f t="shared" si="9"/>
        <v>233</v>
      </c>
      <c r="L19" s="361">
        <v>85</v>
      </c>
      <c r="M19" s="109">
        <f t="shared" si="10"/>
        <v>154</v>
      </c>
      <c r="N19" s="361">
        <v>10</v>
      </c>
      <c r="O19" s="361">
        <v>198</v>
      </c>
      <c r="P19" s="183">
        <f t="shared" si="3"/>
        <v>0.77777777777777779</v>
      </c>
      <c r="Q19" s="361">
        <v>101</v>
      </c>
      <c r="R19" s="361">
        <v>6</v>
      </c>
      <c r="S19" s="192">
        <v>1400825</v>
      </c>
      <c r="T19" s="110">
        <f t="shared" si="8"/>
        <v>1400825</v>
      </c>
      <c r="U19" s="192">
        <v>1201004</v>
      </c>
      <c r="V19" s="192">
        <v>199821</v>
      </c>
      <c r="W19" s="185">
        <f t="shared" si="4"/>
        <v>0.14264522691985079</v>
      </c>
    </row>
    <row r="20" spans="1:23" s="71" customFormat="1">
      <c r="A20" s="90">
        <v>2005</v>
      </c>
      <c r="B20" s="361">
        <v>7</v>
      </c>
      <c r="C20" s="361">
        <v>6</v>
      </c>
      <c r="D20" s="194">
        <f t="shared" si="5"/>
        <v>13</v>
      </c>
      <c r="E20" s="109">
        <f t="shared" si="6"/>
        <v>34</v>
      </c>
      <c r="F20" s="109">
        <f t="shared" si="7"/>
        <v>18</v>
      </c>
      <c r="G20" s="113"/>
      <c r="H20" s="113"/>
      <c r="I20" s="361">
        <v>65</v>
      </c>
      <c r="J20" s="361">
        <v>180</v>
      </c>
      <c r="K20" s="194">
        <f t="shared" si="9"/>
        <v>245</v>
      </c>
      <c r="L20" s="361">
        <v>137</v>
      </c>
      <c r="M20" s="109">
        <f t="shared" si="10"/>
        <v>202</v>
      </c>
      <c r="N20" s="361">
        <v>9</v>
      </c>
      <c r="O20" s="361">
        <v>239</v>
      </c>
      <c r="P20" s="183">
        <f t="shared" si="3"/>
        <v>0.84518828451882844</v>
      </c>
      <c r="Q20" s="361">
        <v>79</v>
      </c>
      <c r="R20" s="361">
        <v>8</v>
      </c>
      <c r="S20" s="192">
        <v>1232336.67</v>
      </c>
      <c r="T20" s="110">
        <f t="shared" si="8"/>
        <v>1232337</v>
      </c>
      <c r="U20" s="192">
        <v>1168664</v>
      </c>
      <c r="V20" s="192">
        <v>63673</v>
      </c>
      <c r="W20" s="185">
        <f t="shared" si="4"/>
        <v>5.1668496523272447E-2</v>
      </c>
    </row>
    <row r="21" spans="1:23" s="71" customFormat="1">
      <c r="A21" s="90">
        <v>2004</v>
      </c>
      <c r="B21" s="195">
        <v>17</v>
      </c>
      <c r="C21" s="195">
        <v>4</v>
      </c>
      <c r="D21" s="194">
        <f t="shared" si="5"/>
        <v>21</v>
      </c>
      <c r="E21" s="109">
        <f t="shared" si="6"/>
        <v>15</v>
      </c>
      <c r="F21" s="109">
        <f t="shared" si="7"/>
        <v>12</v>
      </c>
      <c r="G21" s="113"/>
      <c r="H21" s="113"/>
      <c r="I21" s="195">
        <v>84</v>
      </c>
      <c r="J21" s="195">
        <v>154</v>
      </c>
      <c r="K21" s="194">
        <f t="shared" si="9"/>
        <v>238</v>
      </c>
      <c r="L21" s="195">
        <v>75</v>
      </c>
      <c r="M21" s="109">
        <f t="shared" si="10"/>
        <v>159</v>
      </c>
      <c r="N21" s="195">
        <v>7</v>
      </c>
      <c r="O21" s="195">
        <v>260</v>
      </c>
      <c r="P21" s="183">
        <f t="shared" si="3"/>
        <v>0.61153846153846159</v>
      </c>
      <c r="Q21" s="195">
        <v>105</v>
      </c>
      <c r="R21" s="361">
        <v>96</v>
      </c>
      <c r="S21" s="192">
        <v>3728722</v>
      </c>
      <c r="T21" s="110">
        <f t="shared" si="8"/>
        <v>3728722</v>
      </c>
      <c r="U21" s="192">
        <v>2684030</v>
      </c>
      <c r="V21" s="192">
        <v>1044692</v>
      </c>
      <c r="W21" s="185">
        <f t="shared" si="4"/>
        <v>0.28017427955208246</v>
      </c>
    </row>
    <row r="22" spans="1:23" s="71" customFormat="1">
      <c r="A22" s="90">
        <v>2003</v>
      </c>
      <c r="B22" s="195">
        <v>19</v>
      </c>
      <c r="C22" s="195">
        <v>5</v>
      </c>
      <c r="D22" s="194">
        <f t="shared" si="5"/>
        <v>24</v>
      </c>
      <c r="E22" s="109">
        <f t="shared" si="6"/>
        <v>23</v>
      </c>
      <c r="F22" s="109">
        <f t="shared" si="7"/>
        <v>18</v>
      </c>
      <c r="G22" s="113"/>
      <c r="H22" s="113"/>
      <c r="I22" s="195">
        <v>63</v>
      </c>
      <c r="J22" s="195">
        <v>192</v>
      </c>
      <c r="K22" s="194">
        <f t="shared" si="9"/>
        <v>255</v>
      </c>
      <c r="L22" s="195">
        <v>140</v>
      </c>
      <c r="M22" s="109">
        <f t="shared" si="10"/>
        <v>203</v>
      </c>
      <c r="N22" s="195">
        <v>7</v>
      </c>
      <c r="O22" s="195">
        <v>442</v>
      </c>
      <c r="P22" s="183">
        <f t="shared" si="3"/>
        <v>0.45927601809954749</v>
      </c>
      <c r="Q22" s="195">
        <v>100</v>
      </c>
      <c r="R22" s="361">
        <v>100</v>
      </c>
      <c r="S22" s="192">
        <v>3750802</v>
      </c>
      <c r="T22" s="110">
        <f t="shared" si="8"/>
        <v>3750802</v>
      </c>
      <c r="U22" s="192">
        <v>2605748</v>
      </c>
      <c r="V22" s="192">
        <v>1145054</v>
      </c>
      <c r="W22" s="185">
        <f t="shared" si="4"/>
        <v>0.30528244359472989</v>
      </c>
    </row>
    <row r="23" spans="1:23" s="71" customFormat="1">
      <c r="A23" s="90">
        <v>2002</v>
      </c>
      <c r="B23" s="195">
        <v>18</v>
      </c>
      <c r="C23" s="195">
        <f>ROUND(10.8, 0)</f>
        <v>11</v>
      </c>
      <c r="D23" s="194">
        <f t="shared" si="5"/>
        <v>29</v>
      </c>
      <c r="E23" s="109">
        <f t="shared" si="6"/>
        <v>27</v>
      </c>
      <c r="F23" s="109">
        <f t="shared" si="7"/>
        <v>17</v>
      </c>
      <c r="G23" s="113"/>
      <c r="H23" s="113"/>
      <c r="I23" s="195">
        <v>70</v>
      </c>
      <c r="J23" s="195">
        <v>202</v>
      </c>
      <c r="K23" s="194">
        <f t="shared" si="9"/>
        <v>272</v>
      </c>
      <c r="L23" s="195">
        <f>ROUND(110.5, 0)</f>
        <v>111</v>
      </c>
      <c r="M23" s="109">
        <f t="shared" si="10"/>
        <v>181</v>
      </c>
      <c r="N23" s="195">
        <v>13</v>
      </c>
      <c r="O23" s="195">
        <f>ROUND(483.84, 0)</f>
        <v>484</v>
      </c>
      <c r="P23" s="183">
        <f t="shared" si="3"/>
        <v>0.37396694214876031</v>
      </c>
      <c r="Q23" s="195">
        <v>61</v>
      </c>
      <c r="R23" s="361">
        <v>68</v>
      </c>
      <c r="S23" s="192">
        <v>4469532</v>
      </c>
      <c r="T23" s="110">
        <f t="shared" si="8"/>
        <v>4469532</v>
      </c>
      <c r="U23" s="192">
        <v>2643139</v>
      </c>
      <c r="V23" s="192">
        <v>1826393</v>
      </c>
      <c r="W23" s="185">
        <f t="shared" si="4"/>
        <v>0.40863182096022582</v>
      </c>
    </row>
    <row r="24" spans="1:23" s="71" customFormat="1">
      <c r="A24" s="654" t="s">
        <v>134</v>
      </c>
      <c r="B24" s="656"/>
      <c r="C24" s="656"/>
      <c r="D24" s="656"/>
      <c r="E24" s="656"/>
      <c r="F24" s="656"/>
      <c r="G24" s="656"/>
      <c r="H24" s="656"/>
      <c r="I24" s="656"/>
      <c r="J24" s="656"/>
      <c r="K24" s="656"/>
      <c r="L24" s="656"/>
      <c r="M24" s="656"/>
      <c r="N24" s="656"/>
      <c r="O24" s="656"/>
      <c r="P24" s="656"/>
      <c r="Q24" s="656"/>
      <c r="R24" s="656"/>
      <c r="S24" s="656"/>
      <c r="T24" s="656"/>
      <c r="U24" s="656"/>
      <c r="V24" s="656"/>
      <c r="W24" s="656"/>
    </row>
    <row r="25" spans="1:23" s="13" customFormat="1">
      <c r="A25" s="655" t="s">
        <v>150</v>
      </c>
      <c r="B25" s="656"/>
      <c r="C25" s="656"/>
      <c r="D25" s="656"/>
      <c r="E25" s="656"/>
      <c r="F25" s="656"/>
      <c r="G25" s="656"/>
      <c r="H25" s="656"/>
      <c r="I25" s="656"/>
      <c r="J25" s="656"/>
      <c r="K25" s="656"/>
      <c r="L25" s="656"/>
      <c r="M25" s="656"/>
      <c r="N25" s="656"/>
      <c r="O25" s="656"/>
      <c r="P25" s="656"/>
      <c r="Q25" s="656"/>
      <c r="R25" s="656"/>
      <c r="S25" s="656"/>
      <c r="T25" s="656"/>
      <c r="U25" s="656"/>
      <c r="V25" s="656"/>
      <c r="W25" s="656"/>
    </row>
    <row r="26" spans="1:23" s="13" customFormat="1">
      <c r="A26" s="691" t="s">
        <v>159</v>
      </c>
      <c r="B26" s="692"/>
      <c r="C26" s="692"/>
      <c r="D26" s="692"/>
      <c r="E26" s="692"/>
      <c r="F26" s="692"/>
      <c r="G26" s="692"/>
      <c r="H26" s="692"/>
      <c r="I26" s="692"/>
      <c r="J26" s="692"/>
      <c r="K26" s="692"/>
      <c r="L26" s="692"/>
      <c r="M26" s="656"/>
      <c r="N26" s="656"/>
      <c r="O26" s="656"/>
      <c r="P26" s="656"/>
      <c r="Q26" s="656"/>
      <c r="R26" s="656"/>
      <c r="S26" s="656"/>
      <c r="T26" s="656"/>
      <c r="U26" s="656"/>
      <c r="V26" s="656"/>
      <c r="W26" s="656"/>
    </row>
    <row r="27" spans="1:23" s="13" customFormat="1">
      <c r="A27" s="655" t="s">
        <v>180</v>
      </c>
      <c r="B27" s="656"/>
      <c r="C27" s="656"/>
      <c r="D27" s="656"/>
      <c r="E27" s="656"/>
      <c r="F27" s="656"/>
      <c r="G27" s="656"/>
      <c r="H27" s="656"/>
      <c r="I27" s="656"/>
      <c r="J27" s="656"/>
      <c r="K27" s="656"/>
      <c r="L27" s="656"/>
      <c r="M27" s="656"/>
      <c r="N27" s="656"/>
      <c r="O27" s="656"/>
      <c r="P27" s="656"/>
      <c r="Q27" s="656"/>
      <c r="R27" s="656"/>
      <c r="S27" s="656"/>
      <c r="T27" s="656"/>
      <c r="U27" s="656"/>
      <c r="V27" s="656"/>
      <c r="W27" s="656"/>
    </row>
    <row r="28" spans="1:23" s="14" customFormat="1">
      <c r="A28" s="14" t="s">
        <v>219</v>
      </c>
      <c r="G28"/>
      <c r="H28"/>
    </row>
    <row r="29" spans="1:23" s="14" customFormat="1">
      <c r="G29"/>
      <c r="H29"/>
    </row>
    <row r="30" spans="1:23" s="14" customFormat="1">
      <c r="G30"/>
      <c r="H30"/>
    </row>
    <row r="31" spans="1:23" s="14" customFormat="1">
      <c r="G31"/>
      <c r="H31"/>
    </row>
    <row r="32" spans="1:23" s="14" customFormat="1">
      <c r="G32"/>
      <c r="H32"/>
    </row>
    <row r="33" spans="7:8" s="14" customFormat="1">
      <c r="G33"/>
      <c r="H33"/>
    </row>
  </sheetData>
  <mergeCells count="5">
    <mergeCell ref="A27:W27"/>
    <mergeCell ref="A1:C1"/>
    <mergeCell ref="A24:W24"/>
    <mergeCell ref="A25:W25"/>
    <mergeCell ref="A26:W26"/>
  </mergeCells>
  <hyperlinks>
    <hyperlink ref="A1" location="'Table of Contents'!A1" display="&lt;&lt;Back to Table of Contents" xr:uid="{00000000-0004-0000-1E00-000000000000}"/>
  </hyperlinks>
  <printOptions headings="1" gridLines="1"/>
  <pageMargins left="0.5" right="0.5" top="0.5" bottom="0.5" header="0" footer="0"/>
  <pageSetup paperSize="5" scale="67" orientation="landscape" horizontalDpi="1200" verticalDpi="1200"/>
  <legacy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HL33"/>
  <sheetViews>
    <sheetView workbookViewId="0">
      <selection activeCell="H33" sqref="H33"/>
    </sheetView>
  </sheetViews>
  <sheetFormatPr defaultColWidth="8.85546875" defaultRowHeight="15"/>
  <cols>
    <col min="1" max="1" width="13.7109375" bestFit="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10" max="11" width="11.85546875" bestFit="1" customWidth="1"/>
    <col min="12" max="12" width="12.28515625" bestFit="1" customWidth="1"/>
    <col min="13" max="13" width="13.140625" bestFit="1" customWidth="1"/>
    <col min="14" max="14" width="10.710937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12</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32" customFormat="1">
      <c r="A3" s="417">
        <v>2021</v>
      </c>
      <c r="B3" s="428">
        <v>15</v>
      </c>
      <c r="C3" s="428">
        <v>8.75</v>
      </c>
      <c r="D3" s="410">
        <f>SUM(B3:C3)</f>
        <v>23.75</v>
      </c>
      <c r="E3" s="411">
        <f t="shared" ref="E3" si="0">ROUND((O3/B3), 0)</f>
        <v>17</v>
      </c>
      <c r="F3" s="411">
        <f t="shared" ref="F3" si="1">ROUND((O3/D3), 0)</f>
        <v>11</v>
      </c>
      <c r="G3" s="428">
        <v>13</v>
      </c>
      <c r="H3" s="428">
        <v>5.5</v>
      </c>
      <c r="I3" s="412">
        <v>128</v>
      </c>
      <c r="J3" s="412">
        <v>66</v>
      </c>
      <c r="K3" s="410">
        <f t="shared" ref="K3" si="2">SUM(I3:J3)</f>
        <v>194</v>
      </c>
      <c r="L3" s="412">
        <v>36</v>
      </c>
      <c r="M3" s="411">
        <f>(I3+L3)</f>
        <v>164</v>
      </c>
      <c r="N3" s="394" t="s">
        <v>79</v>
      </c>
      <c r="O3" s="412">
        <v>261</v>
      </c>
      <c r="P3" s="413">
        <f t="shared" ref="P3" si="3">M3/O3</f>
        <v>0.62835249042145591</v>
      </c>
      <c r="Q3" s="412">
        <v>117</v>
      </c>
      <c r="R3" s="412">
        <v>70</v>
      </c>
      <c r="S3" s="414">
        <v>3642564</v>
      </c>
      <c r="T3" s="415">
        <f t="shared" ref="T3" si="4">SUM(U3:V3)</f>
        <v>4424076</v>
      </c>
      <c r="U3" s="414">
        <v>3781329</v>
      </c>
      <c r="V3" s="414">
        <v>642747</v>
      </c>
      <c r="W3" s="335">
        <f t="shared" ref="W3" si="5">V3/T3</f>
        <v>0.14528389656958876</v>
      </c>
    </row>
    <row r="4" spans="1:220" s="432" customFormat="1">
      <c r="A4" s="417">
        <v>2020</v>
      </c>
      <c r="B4" s="428">
        <v>14</v>
      </c>
      <c r="C4" s="428">
        <v>4.25</v>
      </c>
      <c r="D4" s="410">
        <f>SUM(B4:C4)</f>
        <v>18.25</v>
      </c>
      <c r="E4" s="411">
        <f>ROUND((O4/B4), 0)</f>
        <v>18</v>
      </c>
      <c r="F4" s="411">
        <f>ROUND((O4/D4), 0)</f>
        <v>13</v>
      </c>
      <c r="G4" s="428">
        <v>14</v>
      </c>
      <c r="H4" s="428">
        <v>2.375</v>
      </c>
      <c r="I4" s="412">
        <v>162</v>
      </c>
      <c r="J4" s="412">
        <v>58</v>
      </c>
      <c r="K4" s="410">
        <f t="shared" ref="K4" si="6">SUM(I4:J4)</f>
        <v>220</v>
      </c>
      <c r="L4" s="412">
        <v>32.5</v>
      </c>
      <c r="M4" s="411">
        <f>(I4+L4)</f>
        <v>194.5</v>
      </c>
      <c r="N4" s="394" t="s">
        <v>79</v>
      </c>
      <c r="O4" s="412">
        <v>245</v>
      </c>
      <c r="P4" s="413">
        <f t="shared" ref="P4" si="7">M4/O4</f>
        <v>0.79387755102040813</v>
      </c>
      <c r="Q4" s="412">
        <v>59</v>
      </c>
      <c r="R4" s="412">
        <v>83</v>
      </c>
      <c r="S4" s="414">
        <v>3286731</v>
      </c>
      <c r="T4" s="415">
        <f>SUM(U4:V4)</f>
        <v>3981339</v>
      </c>
      <c r="U4" s="414">
        <v>3745939</v>
      </c>
      <c r="V4" s="414">
        <v>235400</v>
      </c>
      <c r="W4" s="335">
        <f t="shared" ref="W4" si="8">V4/T4</f>
        <v>5.9125836810178689E-2</v>
      </c>
    </row>
    <row r="5" spans="1:220" s="432" customFormat="1">
      <c r="A5" s="417">
        <v>2019</v>
      </c>
      <c r="B5" s="428">
        <v>14</v>
      </c>
      <c r="C5" s="428">
        <v>4.25</v>
      </c>
      <c r="D5" s="410">
        <f>SUM(B5:C5)</f>
        <v>18.25</v>
      </c>
      <c r="E5" s="411">
        <f>ROUND((O5/B5), 0)</f>
        <v>20</v>
      </c>
      <c r="F5" s="411">
        <f>ROUND((O5/D5), 0)</f>
        <v>16</v>
      </c>
      <c r="G5" s="428">
        <v>14</v>
      </c>
      <c r="H5" s="428">
        <v>2</v>
      </c>
      <c r="I5" s="428">
        <v>160</v>
      </c>
      <c r="J5" s="428">
        <v>56</v>
      </c>
      <c r="K5" s="410">
        <f>SUM(I5:J5)</f>
        <v>216</v>
      </c>
      <c r="L5" s="428">
        <v>28.25</v>
      </c>
      <c r="M5" s="411">
        <f>(I5+L5)</f>
        <v>188.25</v>
      </c>
      <c r="N5" s="394" t="s">
        <v>79</v>
      </c>
      <c r="O5" s="428">
        <v>286.75</v>
      </c>
      <c r="P5" s="413">
        <f>M5/O5</f>
        <v>0.65649520488230162</v>
      </c>
      <c r="Q5" s="428">
        <v>64</v>
      </c>
      <c r="R5" s="428">
        <v>59</v>
      </c>
      <c r="S5" s="414">
        <v>3233148</v>
      </c>
      <c r="T5" s="415">
        <f>SUM(U5:V5)</f>
        <v>3625361</v>
      </c>
      <c r="U5" s="414">
        <v>3200663</v>
      </c>
      <c r="V5" s="414">
        <v>424698</v>
      </c>
      <c r="W5" s="335">
        <f>V5/T5</f>
        <v>0.11714640279961085</v>
      </c>
    </row>
    <row r="6" spans="1:220" s="17" customFormat="1">
      <c r="A6" s="33">
        <v>2018</v>
      </c>
      <c r="B6" s="20">
        <v>13</v>
      </c>
      <c r="C6" s="20">
        <v>4.25</v>
      </c>
      <c r="D6" s="29">
        <f>SUM(B6:C6)</f>
        <v>17.25</v>
      </c>
      <c r="E6" s="172">
        <f>ROUND((O6/B6), 0)</f>
        <v>23</v>
      </c>
      <c r="F6" s="172">
        <f>ROUND((O6/D6), 0)</f>
        <v>18</v>
      </c>
      <c r="G6" s="20">
        <v>13</v>
      </c>
      <c r="H6" s="20">
        <v>2</v>
      </c>
      <c r="I6" s="20">
        <v>149</v>
      </c>
      <c r="J6" s="20">
        <v>82</v>
      </c>
      <c r="K6" s="29">
        <f t="shared" ref="K6" si="9">SUM(I6:J6)</f>
        <v>231</v>
      </c>
      <c r="L6" s="20">
        <v>41.75</v>
      </c>
      <c r="M6" s="172">
        <f>(I6+L6)</f>
        <v>190.75</v>
      </c>
      <c r="N6" s="394" t="s">
        <v>79</v>
      </c>
      <c r="O6" s="20">
        <v>303.25</v>
      </c>
      <c r="P6" s="183">
        <f>M6/O6</f>
        <v>0.62901896125309154</v>
      </c>
      <c r="Q6" s="20">
        <v>84</v>
      </c>
      <c r="R6" s="20">
        <v>98</v>
      </c>
      <c r="S6" s="24">
        <v>3141577</v>
      </c>
      <c r="T6" s="30">
        <f>SUM(U6:V6)</f>
        <v>2852756</v>
      </c>
      <c r="U6" s="24">
        <v>2538026</v>
      </c>
      <c r="V6" s="24">
        <v>314730</v>
      </c>
      <c r="W6" s="185">
        <f>V6/T6</f>
        <v>0.11032489284046726</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15</v>
      </c>
      <c r="C7" s="20">
        <f>15/4</f>
        <v>3.75</v>
      </c>
      <c r="D7" s="34">
        <f>SUM(B7:C7)</f>
        <v>18.75</v>
      </c>
      <c r="E7" s="34">
        <f>ROUND((O7/B7), 0)</f>
        <v>22</v>
      </c>
      <c r="F7" s="34">
        <f>ROUND((O7/D7), 0)</f>
        <v>18</v>
      </c>
      <c r="G7" s="20">
        <v>13</v>
      </c>
      <c r="H7" s="20">
        <v>1.5</v>
      </c>
      <c r="I7" s="20">
        <v>158</v>
      </c>
      <c r="J7" s="20">
        <v>82</v>
      </c>
      <c r="K7" s="34">
        <f>SUM(I7:J7)</f>
        <v>240</v>
      </c>
      <c r="L7" s="20">
        <v>41.75</v>
      </c>
      <c r="M7" s="36">
        <f>(I7+L7)</f>
        <v>199.75</v>
      </c>
      <c r="N7" s="23" t="s">
        <v>79</v>
      </c>
      <c r="O7" s="344">
        <v>333.75</v>
      </c>
      <c r="P7" s="183">
        <f t="shared" ref="P7:P22" si="10">M7/O7</f>
        <v>0.59850187265917598</v>
      </c>
      <c r="Q7" s="20">
        <v>151</v>
      </c>
      <c r="R7" s="20">
        <v>110</v>
      </c>
      <c r="S7" s="300">
        <v>3150757</v>
      </c>
      <c r="T7" s="35">
        <f>SUM(U7:V7)</f>
        <v>3720656</v>
      </c>
      <c r="U7" s="341">
        <v>3189202</v>
      </c>
      <c r="V7" s="24">
        <v>531454</v>
      </c>
      <c r="W7" s="185">
        <f t="shared" ref="W7:W22" si="11">V7/T7</f>
        <v>0.14283878971880229</v>
      </c>
    </row>
    <row r="8" spans="1:220" s="65" customFormat="1">
      <c r="A8" s="95">
        <v>2016</v>
      </c>
      <c r="B8" s="63">
        <v>15</v>
      </c>
      <c r="C8" s="63">
        <v>2.0499999999999998</v>
      </c>
      <c r="D8" s="108">
        <f>B8+C8</f>
        <v>17.05</v>
      </c>
      <c r="E8" s="109">
        <f>ROUND((O8/B8), 0)</f>
        <v>25</v>
      </c>
      <c r="F8" s="109">
        <f>ROUND((O8/D8), 0)</f>
        <v>22</v>
      </c>
      <c r="G8" s="63">
        <v>14</v>
      </c>
      <c r="H8" s="63">
        <v>1.3</v>
      </c>
      <c r="I8" s="63">
        <v>175</v>
      </c>
      <c r="J8" s="63">
        <v>78</v>
      </c>
      <c r="K8" s="108">
        <f>I8+J8</f>
        <v>253</v>
      </c>
      <c r="L8" s="63">
        <v>45</v>
      </c>
      <c r="M8" s="109">
        <f>I8+L8</f>
        <v>220</v>
      </c>
      <c r="N8" s="87" t="s">
        <v>79</v>
      </c>
      <c r="O8" s="63">
        <v>382</v>
      </c>
      <c r="P8" s="183">
        <f t="shared" si="10"/>
        <v>0.5759162303664922</v>
      </c>
      <c r="Q8" s="63">
        <v>100</v>
      </c>
      <c r="R8" s="63">
        <v>131</v>
      </c>
      <c r="S8" s="102">
        <v>3122802</v>
      </c>
      <c r="T8" s="110">
        <f>SUM(U8:V8)</f>
        <v>3220937</v>
      </c>
      <c r="U8" s="102">
        <v>2924527</v>
      </c>
      <c r="V8" s="102">
        <v>296410</v>
      </c>
      <c r="W8" s="185">
        <f t="shared" si="11"/>
        <v>9.2026016031980754E-2</v>
      </c>
    </row>
    <row r="9" spans="1:220" s="65" customFormat="1">
      <c r="A9" s="95">
        <v>2015</v>
      </c>
      <c r="B9" s="63">
        <v>16</v>
      </c>
      <c r="C9" s="63">
        <v>1.7</v>
      </c>
      <c r="D9" s="87">
        <v>17.7</v>
      </c>
      <c r="E9" s="87">
        <v>21.4</v>
      </c>
      <c r="F9" s="87">
        <v>19.3</v>
      </c>
      <c r="G9" s="111"/>
      <c r="H9" s="111"/>
      <c r="I9" s="63">
        <v>192</v>
      </c>
      <c r="J9" s="63">
        <v>74</v>
      </c>
      <c r="K9" s="87">
        <v>266</v>
      </c>
      <c r="L9" s="63">
        <v>10</v>
      </c>
      <c r="M9" s="87">
        <v>202</v>
      </c>
      <c r="N9" s="87" t="s">
        <v>79</v>
      </c>
      <c r="O9" s="63">
        <v>342</v>
      </c>
      <c r="P9" s="183">
        <f t="shared" si="10"/>
        <v>0.59064327485380119</v>
      </c>
      <c r="Q9" s="63">
        <v>134</v>
      </c>
      <c r="R9" s="63">
        <v>131</v>
      </c>
      <c r="S9" s="102">
        <v>3184413</v>
      </c>
      <c r="T9" s="103">
        <v>3373739</v>
      </c>
      <c r="U9" s="102">
        <v>3072492</v>
      </c>
      <c r="V9" s="102">
        <v>301247</v>
      </c>
      <c r="W9" s="185">
        <f t="shared" si="11"/>
        <v>8.9291732407278696E-2</v>
      </c>
    </row>
    <row r="10" spans="1:220" s="105" customFormat="1">
      <c r="A10" s="90">
        <v>2014</v>
      </c>
      <c r="B10" s="91">
        <v>16</v>
      </c>
      <c r="C10" s="91">
        <v>0</v>
      </c>
      <c r="D10" s="81">
        <f>B10+C10</f>
        <v>16</v>
      </c>
      <c r="E10" s="82">
        <f t="shared" ref="E10:E22" si="12">ROUND((O10/B10), 0)</f>
        <v>26</v>
      </c>
      <c r="F10" s="82">
        <f t="shared" ref="F10:F22" si="13">ROUND((O10/D10), 0)</f>
        <v>26</v>
      </c>
      <c r="G10" s="111"/>
      <c r="H10" s="111"/>
      <c r="I10" s="91">
        <v>186</v>
      </c>
      <c r="J10" s="91">
        <v>77</v>
      </c>
      <c r="K10" s="81">
        <f>I10+J10</f>
        <v>263</v>
      </c>
      <c r="L10" s="91">
        <v>38.25</v>
      </c>
      <c r="M10" s="82">
        <f>I10+L10</f>
        <v>224.25</v>
      </c>
      <c r="N10" s="87" t="s">
        <v>79</v>
      </c>
      <c r="O10" s="91">
        <v>409</v>
      </c>
      <c r="P10" s="183">
        <f t="shared" si="10"/>
        <v>0.54828850855745725</v>
      </c>
      <c r="Q10" s="91">
        <v>68</v>
      </c>
      <c r="R10" s="91">
        <v>133</v>
      </c>
      <c r="S10" s="92">
        <v>3210173</v>
      </c>
      <c r="T10" s="85">
        <f t="shared" ref="T10:T22" si="14">SUM(U10:V10)</f>
        <v>3096215</v>
      </c>
      <c r="U10" s="92">
        <v>3063421</v>
      </c>
      <c r="V10" s="92">
        <v>32794</v>
      </c>
      <c r="W10" s="185">
        <f t="shared" si="11"/>
        <v>1.0591641730306196E-2</v>
      </c>
    </row>
    <row r="11" spans="1:220" s="71" customFormat="1">
      <c r="A11" s="90">
        <v>2013</v>
      </c>
      <c r="B11" s="361">
        <v>16</v>
      </c>
      <c r="C11" s="361">
        <v>2.2000000000000002</v>
      </c>
      <c r="D11" s="108">
        <f>B11+C11</f>
        <v>18.2</v>
      </c>
      <c r="E11" s="109">
        <f t="shared" si="12"/>
        <v>26</v>
      </c>
      <c r="F11" s="109">
        <f t="shared" si="13"/>
        <v>23</v>
      </c>
      <c r="G11" s="113"/>
      <c r="H11" s="113"/>
      <c r="I11" s="361">
        <v>203</v>
      </c>
      <c r="J11" s="361">
        <v>86</v>
      </c>
      <c r="K11" s="108">
        <f>I11+J11</f>
        <v>289</v>
      </c>
      <c r="L11" s="361">
        <v>44.75</v>
      </c>
      <c r="M11" s="109">
        <f>I11+L11</f>
        <v>247.75</v>
      </c>
      <c r="N11" s="87" t="s">
        <v>79</v>
      </c>
      <c r="O11" s="361">
        <v>415.75</v>
      </c>
      <c r="P11" s="183">
        <f t="shared" si="10"/>
        <v>0.59591100420926035</v>
      </c>
      <c r="Q11" s="361">
        <v>110</v>
      </c>
      <c r="R11" s="361">
        <v>157</v>
      </c>
      <c r="S11" s="112">
        <v>3422870</v>
      </c>
      <c r="T11" s="110">
        <f t="shared" si="14"/>
        <v>3401694</v>
      </c>
      <c r="U11" s="112">
        <v>3051804</v>
      </c>
      <c r="V11" s="112">
        <v>349890</v>
      </c>
      <c r="W11" s="185">
        <f t="shared" si="11"/>
        <v>0.1028575762546543</v>
      </c>
    </row>
    <row r="12" spans="1:220" s="71" customFormat="1">
      <c r="A12" s="90">
        <v>2012</v>
      </c>
      <c r="B12" s="361">
        <v>15</v>
      </c>
      <c r="C12" s="361">
        <v>1.4</v>
      </c>
      <c r="D12" s="108">
        <f>B12+C12</f>
        <v>16.399999999999999</v>
      </c>
      <c r="E12" s="109">
        <f t="shared" si="12"/>
        <v>17</v>
      </c>
      <c r="F12" s="109">
        <f t="shared" si="13"/>
        <v>16</v>
      </c>
      <c r="G12" s="113"/>
      <c r="H12" s="113"/>
      <c r="I12" s="361">
        <v>194</v>
      </c>
      <c r="J12" s="361">
        <v>90</v>
      </c>
      <c r="K12" s="108">
        <f>I12+J12</f>
        <v>284</v>
      </c>
      <c r="L12" s="361">
        <v>47.5</v>
      </c>
      <c r="M12" s="109">
        <f>I12+L12</f>
        <v>241.5</v>
      </c>
      <c r="N12" s="87" t="s">
        <v>79</v>
      </c>
      <c r="O12" s="361">
        <v>256.5</v>
      </c>
      <c r="P12" s="183">
        <f t="shared" si="10"/>
        <v>0.94152046783625731</v>
      </c>
      <c r="Q12" s="361">
        <v>68</v>
      </c>
      <c r="R12" s="361">
        <v>76</v>
      </c>
      <c r="S12" s="112">
        <v>3246046</v>
      </c>
      <c r="T12" s="110">
        <f t="shared" si="14"/>
        <v>3280515</v>
      </c>
      <c r="U12" s="112">
        <v>2976747</v>
      </c>
      <c r="V12" s="112">
        <v>303768</v>
      </c>
      <c r="W12" s="185">
        <f t="shared" si="11"/>
        <v>9.2597656160694278E-2</v>
      </c>
    </row>
    <row r="13" spans="1:220" s="71" customFormat="1">
      <c r="A13" s="90" t="s">
        <v>81</v>
      </c>
      <c r="B13" s="361">
        <v>15</v>
      </c>
      <c r="C13" s="361">
        <v>1.2</v>
      </c>
      <c r="D13" s="108">
        <f t="shared" ref="D13:D22" si="15">SUM(B13:C13)</f>
        <v>16.2</v>
      </c>
      <c r="E13" s="109">
        <f t="shared" si="12"/>
        <v>29</v>
      </c>
      <c r="F13" s="109">
        <f t="shared" si="13"/>
        <v>27</v>
      </c>
      <c r="G13" s="113"/>
      <c r="H13" s="113"/>
      <c r="I13" s="361">
        <v>192</v>
      </c>
      <c r="J13" s="361">
        <v>64</v>
      </c>
      <c r="K13" s="108">
        <f t="shared" ref="K13:K22" si="16">SUM(I13:J13)</f>
        <v>256</v>
      </c>
      <c r="L13" s="361">
        <v>31</v>
      </c>
      <c r="M13" s="109">
        <f t="shared" ref="M13:M22" si="17">(I13+L13)</f>
        <v>223</v>
      </c>
      <c r="N13" s="87" t="s">
        <v>79</v>
      </c>
      <c r="O13" s="361">
        <v>441.5</v>
      </c>
      <c r="P13" s="183">
        <f t="shared" si="10"/>
        <v>0.50509626274065689</v>
      </c>
      <c r="Q13" s="361">
        <v>67</v>
      </c>
      <c r="R13" s="361">
        <v>1</v>
      </c>
      <c r="S13" s="112">
        <v>3066626</v>
      </c>
      <c r="T13" s="110">
        <f t="shared" si="14"/>
        <v>2889557</v>
      </c>
      <c r="U13" s="112">
        <v>2656054</v>
      </c>
      <c r="V13" s="112">
        <v>233503</v>
      </c>
      <c r="W13" s="185">
        <f t="shared" si="11"/>
        <v>8.0809272840092788E-2</v>
      </c>
    </row>
    <row r="14" spans="1:220" s="71" customFormat="1">
      <c r="A14" s="90" t="s">
        <v>82</v>
      </c>
      <c r="B14" s="361">
        <v>15</v>
      </c>
      <c r="C14" s="361">
        <v>1.9</v>
      </c>
      <c r="D14" s="108">
        <f t="shared" si="15"/>
        <v>16.899999999999999</v>
      </c>
      <c r="E14" s="109">
        <f t="shared" si="12"/>
        <v>26</v>
      </c>
      <c r="F14" s="109">
        <f t="shared" si="13"/>
        <v>24</v>
      </c>
      <c r="G14" s="113"/>
      <c r="H14" s="113"/>
      <c r="I14" s="361">
        <v>184</v>
      </c>
      <c r="J14" s="361">
        <v>64</v>
      </c>
      <c r="K14" s="108">
        <f t="shared" si="16"/>
        <v>248</v>
      </c>
      <c r="L14" s="361">
        <v>31.75</v>
      </c>
      <c r="M14" s="109">
        <f t="shared" si="17"/>
        <v>215.75</v>
      </c>
      <c r="N14" s="87" t="s">
        <v>79</v>
      </c>
      <c r="O14" s="361">
        <v>397.25</v>
      </c>
      <c r="P14" s="183">
        <f t="shared" si="10"/>
        <v>0.54310887350534931</v>
      </c>
      <c r="Q14" s="361">
        <v>101</v>
      </c>
      <c r="R14" s="361">
        <v>1</v>
      </c>
      <c r="S14" s="112">
        <v>2808383.96</v>
      </c>
      <c r="T14" s="110">
        <f t="shared" si="14"/>
        <v>2901766</v>
      </c>
      <c r="U14" s="112">
        <v>2628316</v>
      </c>
      <c r="V14" s="112">
        <v>273450</v>
      </c>
      <c r="W14" s="185">
        <f t="shared" si="11"/>
        <v>9.4235717146041412E-2</v>
      </c>
    </row>
    <row r="15" spans="1:220" s="71" customFormat="1">
      <c r="A15" s="90" t="s">
        <v>83</v>
      </c>
      <c r="B15" s="361">
        <v>15</v>
      </c>
      <c r="C15" s="361">
        <v>3.75</v>
      </c>
      <c r="D15" s="108">
        <f t="shared" si="15"/>
        <v>18.75</v>
      </c>
      <c r="E15" s="109">
        <f t="shared" si="12"/>
        <v>25</v>
      </c>
      <c r="F15" s="109">
        <f t="shared" si="13"/>
        <v>20</v>
      </c>
      <c r="G15" s="113"/>
      <c r="H15" s="113"/>
      <c r="I15" s="361">
        <v>184</v>
      </c>
      <c r="J15" s="361">
        <v>55</v>
      </c>
      <c r="K15" s="108">
        <f t="shared" si="16"/>
        <v>239</v>
      </c>
      <c r="L15" s="361">
        <v>28.5</v>
      </c>
      <c r="M15" s="109">
        <f t="shared" si="17"/>
        <v>212.5</v>
      </c>
      <c r="N15" s="87" t="s">
        <v>79</v>
      </c>
      <c r="O15" s="361">
        <v>382.25</v>
      </c>
      <c r="P15" s="183">
        <f t="shared" si="10"/>
        <v>0.5559189012426422</v>
      </c>
      <c r="Q15" s="361">
        <v>35</v>
      </c>
      <c r="R15" s="361">
        <v>2</v>
      </c>
      <c r="S15" s="112">
        <v>2835764.05</v>
      </c>
      <c r="T15" s="110">
        <f t="shared" si="14"/>
        <v>2781554.87</v>
      </c>
      <c r="U15" s="112">
        <v>2555679.87</v>
      </c>
      <c r="V15" s="112">
        <v>225875</v>
      </c>
      <c r="W15" s="185">
        <f t="shared" si="11"/>
        <v>8.1204581810029153E-2</v>
      </c>
    </row>
    <row r="16" spans="1:220" s="71" customFormat="1">
      <c r="A16" s="90" t="s">
        <v>84</v>
      </c>
      <c r="B16" s="361">
        <v>15</v>
      </c>
      <c r="C16" s="361">
        <v>4</v>
      </c>
      <c r="D16" s="108">
        <f t="shared" si="15"/>
        <v>19</v>
      </c>
      <c r="E16" s="109">
        <f t="shared" si="12"/>
        <v>21</v>
      </c>
      <c r="F16" s="109">
        <f t="shared" si="13"/>
        <v>17</v>
      </c>
      <c r="G16" s="113"/>
      <c r="H16" s="113"/>
      <c r="I16" s="361">
        <v>147</v>
      </c>
      <c r="J16" s="361">
        <v>39</v>
      </c>
      <c r="K16" s="108">
        <f t="shared" si="16"/>
        <v>186</v>
      </c>
      <c r="L16" s="361">
        <v>21</v>
      </c>
      <c r="M16" s="109">
        <f t="shared" si="17"/>
        <v>168</v>
      </c>
      <c r="N16" s="87" t="s">
        <v>79</v>
      </c>
      <c r="O16" s="361">
        <v>314</v>
      </c>
      <c r="P16" s="183">
        <f t="shared" si="10"/>
        <v>0.53503184713375795</v>
      </c>
      <c r="Q16" s="361">
        <v>68</v>
      </c>
      <c r="R16" s="361">
        <v>0</v>
      </c>
      <c r="S16" s="112">
        <v>2678468.7999999998</v>
      </c>
      <c r="T16" s="110">
        <f t="shared" si="14"/>
        <v>2604358</v>
      </c>
      <c r="U16" s="112">
        <v>2320777</v>
      </c>
      <c r="V16" s="112">
        <v>283581</v>
      </c>
      <c r="W16" s="185">
        <f t="shared" si="11"/>
        <v>0.10888710384670618</v>
      </c>
    </row>
    <row r="17" spans="1:23" s="71" customFormat="1">
      <c r="A17" s="90">
        <v>2007</v>
      </c>
      <c r="B17" s="361">
        <v>9</v>
      </c>
      <c r="C17" s="361">
        <v>4.25</v>
      </c>
      <c r="D17" s="194">
        <f t="shared" si="15"/>
        <v>13.25</v>
      </c>
      <c r="E17" s="109">
        <f t="shared" si="12"/>
        <v>16</v>
      </c>
      <c r="F17" s="109">
        <f t="shared" si="13"/>
        <v>11</v>
      </c>
      <c r="G17" s="113"/>
      <c r="H17" s="113"/>
      <c r="I17" s="361">
        <v>132</v>
      </c>
      <c r="J17" s="361">
        <v>28</v>
      </c>
      <c r="K17" s="194">
        <f t="shared" si="16"/>
        <v>160</v>
      </c>
      <c r="L17" s="361">
        <v>7</v>
      </c>
      <c r="M17" s="109">
        <f t="shared" si="17"/>
        <v>139</v>
      </c>
      <c r="N17" s="87" t="s">
        <v>79</v>
      </c>
      <c r="O17" s="361">
        <v>142</v>
      </c>
      <c r="P17" s="183">
        <f t="shared" si="10"/>
        <v>0.97887323943661975</v>
      </c>
      <c r="Q17" s="361">
        <v>75</v>
      </c>
      <c r="R17" s="361">
        <v>2</v>
      </c>
      <c r="S17" s="192">
        <v>2762299</v>
      </c>
      <c r="T17" s="110">
        <f t="shared" si="14"/>
        <v>2624318</v>
      </c>
      <c r="U17" s="192">
        <v>2364615</v>
      </c>
      <c r="V17" s="192">
        <v>259703</v>
      </c>
      <c r="W17" s="185">
        <f t="shared" si="11"/>
        <v>9.8960186989534044E-2</v>
      </c>
    </row>
    <row r="18" spans="1:23" s="71" customFormat="1">
      <c r="A18" s="90">
        <v>2006</v>
      </c>
      <c r="B18" s="361">
        <v>11</v>
      </c>
      <c r="C18" s="361">
        <v>3.5</v>
      </c>
      <c r="D18" s="194">
        <f t="shared" si="15"/>
        <v>14.5</v>
      </c>
      <c r="E18" s="109">
        <f t="shared" si="12"/>
        <v>13</v>
      </c>
      <c r="F18" s="109">
        <f t="shared" si="13"/>
        <v>10</v>
      </c>
      <c r="G18" s="113"/>
      <c r="H18" s="113"/>
      <c r="I18" s="361">
        <v>139</v>
      </c>
      <c r="J18" s="361">
        <v>31</v>
      </c>
      <c r="K18" s="194">
        <f t="shared" si="16"/>
        <v>170</v>
      </c>
      <c r="L18" s="361">
        <v>8</v>
      </c>
      <c r="M18" s="109">
        <f t="shared" si="17"/>
        <v>147</v>
      </c>
      <c r="N18" s="87" t="s">
        <v>79</v>
      </c>
      <c r="O18" s="361">
        <v>147</v>
      </c>
      <c r="P18" s="183">
        <f t="shared" si="10"/>
        <v>1</v>
      </c>
      <c r="Q18" s="361">
        <v>82</v>
      </c>
      <c r="R18" s="361"/>
      <c r="S18" s="192">
        <v>2890450</v>
      </c>
      <c r="T18" s="110">
        <f t="shared" si="14"/>
        <v>2859305</v>
      </c>
      <c r="U18" s="192">
        <v>2494601</v>
      </c>
      <c r="V18" s="192">
        <v>364704</v>
      </c>
      <c r="W18" s="185">
        <f t="shared" si="11"/>
        <v>0.12754987663085959</v>
      </c>
    </row>
    <row r="19" spans="1:23" s="71" customFormat="1">
      <c r="A19" s="90">
        <v>2005</v>
      </c>
      <c r="B19" s="361">
        <v>14</v>
      </c>
      <c r="C19" s="361">
        <v>4</v>
      </c>
      <c r="D19" s="194">
        <f t="shared" si="15"/>
        <v>18</v>
      </c>
      <c r="E19" s="109">
        <f t="shared" si="12"/>
        <v>11</v>
      </c>
      <c r="F19" s="109">
        <f t="shared" si="13"/>
        <v>8</v>
      </c>
      <c r="G19" s="113"/>
      <c r="H19" s="113"/>
      <c r="I19" s="361">
        <v>146</v>
      </c>
      <c r="J19" s="361">
        <v>12</v>
      </c>
      <c r="K19" s="194">
        <f t="shared" si="16"/>
        <v>158</v>
      </c>
      <c r="L19" s="361">
        <v>3</v>
      </c>
      <c r="M19" s="109">
        <f t="shared" si="17"/>
        <v>149</v>
      </c>
      <c r="N19" s="87" t="s">
        <v>79</v>
      </c>
      <c r="O19" s="195">
        <v>151</v>
      </c>
      <c r="P19" s="183">
        <f t="shared" si="10"/>
        <v>0.98675496688741726</v>
      </c>
      <c r="Q19" s="361">
        <v>75</v>
      </c>
      <c r="R19" s="361">
        <v>1</v>
      </c>
      <c r="S19" s="192">
        <v>2803246</v>
      </c>
      <c r="T19" s="110">
        <f t="shared" si="14"/>
        <v>2728106</v>
      </c>
      <c r="U19" s="192">
        <v>2557040</v>
      </c>
      <c r="V19" s="192">
        <v>171066</v>
      </c>
      <c r="W19" s="185">
        <f t="shared" si="11"/>
        <v>6.2705041519647703E-2</v>
      </c>
    </row>
    <row r="20" spans="1:23" s="71" customFormat="1">
      <c r="A20" s="90">
        <v>2004</v>
      </c>
      <c r="B20" s="195">
        <v>13</v>
      </c>
      <c r="C20" s="195">
        <v>4</v>
      </c>
      <c r="D20" s="194">
        <f t="shared" si="15"/>
        <v>17</v>
      </c>
      <c r="E20" s="109">
        <f t="shared" si="12"/>
        <v>13</v>
      </c>
      <c r="F20" s="109">
        <f t="shared" si="13"/>
        <v>10</v>
      </c>
      <c r="G20" s="113"/>
      <c r="H20" s="113"/>
      <c r="I20" s="195">
        <v>155</v>
      </c>
      <c r="J20" s="195">
        <v>18</v>
      </c>
      <c r="K20" s="194">
        <f t="shared" si="16"/>
        <v>173</v>
      </c>
      <c r="L20" s="195">
        <v>4.5</v>
      </c>
      <c r="M20" s="109">
        <f t="shared" si="17"/>
        <v>159.5</v>
      </c>
      <c r="N20" s="87" t="s">
        <v>79</v>
      </c>
      <c r="O20" s="195">
        <v>171</v>
      </c>
      <c r="P20" s="183">
        <f t="shared" si="10"/>
        <v>0.93274853801169588</v>
      </c>
      <c r="Q20" s="195">
        <v>62</v>
      </c>
      <c r="R20" s="361">
        <v>1</v>
      </c>
      <c r="S20" s="192">
        <v>2857263</v>
      </c>
      <c r="T20" s="110">
        <f t="shared" si="14"/>
        <v>2910840</v>
      </c>
      <c r="U20" s="192">
        <v>2338895</v>
      </c>
      <c r="V20" s="192">
        <v>571945</v>
      </c>
      <c r="W20" s="185">
        <f t="shared" si="11"/>
        <v>0.19648795536683569</v>
      </c>
    </row>
    <row r="21" spans="1:23" s="71" customFormat="1">
      <c r="A21" s="90">
        <v>2003</v>
      </c>
      <c r="B21" s="195">
        <v>14</v>
      </c>
      <c r="C21" s="195">
        <v>3</v>
      </c>
      <c r="D21" s="194">
        <f t="shared" si="15"/>
        <v>17</v>
      </c>
      <c r="E21" s="109">
        <f t="shared" si="12"/>
        <v>16</v>
      </c>
      <c r="F21" s="109">
        <f t="shared" si="13"/>
        <v>13</v>
      </c>
      <c r="G21" s="113"/>
      <c r="H21" s="113"/>
      <c r="I21" s="195">
        <v>150</v>
      </c>
      <c r="J21" s="195">
        <v>16</v>
      </c>
      <c r="K21" s="194">
        <f t="shared" si="16"/>
        <v>166</v>
      </c>
      <c r="L21" s="195">
        <v>4</v>
      </c>
      <c r="M21" s="109">
        <f t="shared" si="17"/>
        <v>154</v>
      </c>
      <c r="N21" s="87" t="s">
        <v>79</v>
      </c>
      <c r="O21" s="195">
        <v>223</v>
      </c>
      <c r="P21" s="183">
        <f t="shared" si="10"/>
        <v>0.6905829596412556</v>
      </c>
      <c r="Q21" s="195">
        <v>67</v>
      </c>
      <c r="R21" s="361">
        <v>0</v>
      </c>
      <c r="S21" s="192">
        <v>2392429</v>
      </c>
      <c r="T21" s="110">
        <f t="shared" si="14"/>
        <v>2247986</v>
      </c>
      <c r="U21" s="192">
        <v>1828769</v>
      </c>
      <c r="V21" s="192">
        <v>419217</v>
      </c>
      <c r="W21" s="185">
        <f t="shared" si="11"/>
        <v>0.18648559199212095</v>
      </c>
    </row>
    <row r="22" spans="1:23" s="71" customFormat="1">
      <c r="A22" s="90">
        <v>2002</v>
      </c>
      <c r="B22" s="195">
        <v>13</v>
      </c>
      <c r="C22" s="195">
        <f>ROUND(4.25, 0)</f>
        <v>4</v>
      </c>
      <c r="D22" s="194">
        <f t="shared" si="15"/>
        <v>17</v>
      </c>
      <c r="E22" s="109">
        <f t="shared" si="12"/>
        <v>16</v>
      </c>
      <c r="F22" s="109">
        <f t="shared" si="13"/>
        <v>13</v>
      </c>
      <c r="G22" s="113"/>
      <c r="H22" s="113"/>
      <c r="I22" s="195">
        <v>140</v>
      </c>
      <c r="J22" s="195">
        <v>8</v>
      </c>
      <c r="K22" s="194">
        <f t="shared" si="16"/>
        <v>148</v>
      </c>
      <c r="L22" s="195">
        <v>3</v>
      </c>
      <c r="M22" s="109">
        <f t="shared" si="17"/>
        <v>143</v>
      </c>
      <c r="N22" s="87" t="s">
        <v>79</v>
      </c>
      <c r="O22" s="195">
        <v>213</v>
      </c>
      <c r="P22" s="183">
        <f t="shared" si="10"/>
        <v>0.67136150234741787</v>
      </c>
      <c r="Q22" s="195">
        <v>58</v>
      </c>
      <c r="R22" s="361">
        <v>0</v>
      </c>
      <c r="S22" s="192">
        <v>2087113</v>
      </c>
      <c r="T22" s="110">
        <f t="shared" si="14"/>
        <v>2062010</v>
      </c>
      <c r="U22" s="192">
        <v>1666200</v>
      </c>
      <c r="V22" s="192">
        <v>395810</v>
      </c>
      <c r="W22" s="185">
        <f t="shared" si="11"/>
        <v>0.19195348228185119</v>
      </c>
    </row>
    <row r="23" spans="1:23" s="14" customFormat="1">
      <c r="A23" s="37"/>
      <c r="G23"/>
      <c r="H23"/>
      <c r="R23" s="693" t="s">
        <v>99</v>
      </c>
      <c r="S23" s="694"/>
      <c r="T23" s="694"/>
      <c r="U23" s="694"/>
      <c r="V23" s="694"/>
      <c r="W23" s="656"/>
    </row>
    <row r="24" spans="1:23" s="14" customFormat="1">
      <c r="G24"/>
      <c r="H24"/>
    </row>
    <row r="25" spans="1:23" s="14" customFormat="1">
      <c r="G25"/>
      <c r="H25"/>
    </row>
    <row r="26" spans="1:23" s="14" customFormat="1">
      <c r="G26"/>
      <c r="H26"/>
    </row>
    <row r="27" spans="1:23" s="14" customFormat="1">
      <c r="G27"/>
      <c r="H27"/>
    </row>
    <row r="28" spans="1:23" s="14" customFormat="1">
      <c r="G28"/>
      <c r="H28"/>
    </row>
    <row r="29" spans="1:23" s="14" customFormat="1">
      <c r="G29"/>
      <c r="H29"/>
    </row>
    <row r="30" spans="1:23" s="14" customFormat="1">
      <c r="G30"/>
      <c r="H30"/>
    </row>
    <row r="31" spans="1:23" s="14" customFormat="1">
      <c r="G31"/>
      <c r="H31"/>
    </row>
    <row r="32" spans="1:23" s="14" customFormat="1">
      <c r="G32"/>
      <c r="H32"/>
    </row>
    <row r="33" spans="7:8" s="14" customFormat="1">
      <c r="G33"/>
      <c r="H33"/>
    </row>
  </sheetData>
  <mergeCells count="1">
    <mergeCell ref="R23:W23"/>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L33"/>
  <sheetViews>
    <sheetView workbookViewId="0">
      <selection activeCell="I26" sqref="I26"/>
    </sheetView>
  </sheetViews>
  <sheetFormatPr defaultColWidth="8.85546875" defaultRowHeight="15"/>
  <cols>
    <col min="1" max="1" width="9.42578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20.25" customHeight="1">
      <c r="A1" s="1" t="s">
        <v>67</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6">
        <v>2021</v>
      </c>
      <c r="B3" s="614">
        <v>9</v>
      </c>
      <c r="C3" s="476">
        <v>7</v>
      </c>
      <c r="D3" s="448">
        <f>SUM(B3:C3)</f>
        <v>16</v>
      </c>
      <c r="E3" s="448">
        <f t="shared" ref="E3" si="0">ROUND((O3/B3), 0)</f>
        <v>24</v>
      </c>
      <c r="F3" s="448">
        <f t="shared" ref="F3" si="1">ROUND((O3/D3), 0)</f>
        <v>13</v>
      </c>
      <c r="G3" s="448">
        <v>5</v>
      </c>
      <c r="H3" s="477">
        <v>5</v>
      </c>
      <c r="I3" s="409">
        <v>59</v>
      </c>
      <c r="J3" s="409">
        <v>119</v>
      </c>
      <c r="K3" s="410">
        <f t="shared" ref="K3" si="2">SUM(I3:J3)</f>
        <v>178</v>
      </c>
      <c r="L3" s="593">
        <v>82.1</v>
      </c>
      <c r="M3" s="411">
        <f>(I3+L3)</f>
        <v>141.1</v>
      </c>
      <c r="N3" s="593">
        <v>76</v>
      </c>
      <c r="O3" s="593">
        <v>214.9</v>
      </c>
      <c r="P3" s="413">
        <f>M3/O3</f>
        <v>0.65658445788738939</v>
      </c>
      <c r="Q3" s="476">
        <v>89</v>
      </c>
      <c r="R3" s="476">
        <v>43</v>
      </c>
      <c r="S3" s="561">
        <v>1394706</v>
      </c>
      <c r="T3" s="431">
        <f>S3</f>
        <v>1394706</v>
      </c>
      <c r="U3" s="475">
        <f>T3-V3</f>
        <v>1386933</v>
      </c>
      <c r="V3" s="475">
        <v>7773</v>
      </c>
      <c r="W3" s="335">
        <f>V3/T3</f>
        <v>5.573217581339723E-3</v>
      </c>
    </row>
    <row r="4" spans="1:220">
      <c r="A4" s="6">
        <v>2020</v>
      </c>
      <c r="B4" s="610">
        <v>10</v>
      </c>
      <c r="C4" s="611">
        <v>7</v>
      </c>
      <c r="D4" s="448">
        <f>SUM(B4:C4)</f>
        <v>17</v>
      </c>
      <c r="E4" s="448">
        <f>ROUND((O4/B4), 0)</f>
        <v>28</v>
      </c>
      <c r="F4" s="448">
        <f>ROUND((O4/D4), 0)</f>
        <v>16</v>
      </c>
      <c r="G4" s="448">
        <v>6</v>
      </c>
      <c r="H4" s="612">
        <v>5</v>
      </c>
      <c r="I4" s="409">
        <v>80</v>
      </c>
      <c r="J4" s="409">
        <v>147</v>
      </c>
      <c r="K4" s="410">
        <f t="shared" ref="K4" si="3">SUM(I4:J4)</f>
        <v>227</v>
      </c>
      <c r="L4" s="593">
        <v>104.25</v>
      </c>
      <c r="M4" s="411">
        <f>(I4+L4)</f>
        <v>184.25</v>
      </c>
      <c r="N4" s="593">
        <v>133</v>
      </c>
      <c r="O4" s="593">
        <v>278</v>
      </c>
      <c r="P4" s="413">
        <f>M4/O4</f>
        <v>0.66276978417266186</v>
      </c>
      <c r="Q4" s="476">
        <v>39</v>
      </c>
      <c r="R4" s="476">
        <v>26</v>
      </c>
      <c r="S4" s="561">
        <v>1330967.1199999999</v>
      </c>
      <c r="T4" s="431">
        <f>S4</f>
        <v>1330967.1199999999</v>
      </c>
      <c r="U4" s="475">
        <f>T4-V4</f>
        <v>1320068.5999999999</v>
      </c>
      <c r="V4" s="475">
        <v>10898.52</v>
      </c>
      <c r="W4" s="335">
        <f>V4/T4</f>
        <v>8.188421664390929E-3</v>
      </c>
    </row>
    <row r="5" spans="1:220">
      <c r="A5" s="6">
        <v>2019</v>
      </c>
      <c r="B5" s="610">
        <v>9</v>
      </c>
      <c r="C5" s="476">
        <v>6.5</v>
      </c>
      <c r="D5" s="448">
        <f>SUM(B5:C5)</f>
        <v>15.5</v>
      </c>
      <c r="E5" s="448">
        <f>ROUND((O5/B5), 0)</f>
        <v>28</v>
      </c>
      <c r="F5" s="448">
        <f>ROUND((O5/D5), 0)</f>
        <v>16</v>
      </c>
      <c r="G5" s="448">
        <v>6</v>
      </c>
      <c r="H5" s="613">
        <v>5</v>
      </c>
      <c r="I5" s="409">
        <v>67</v>
      </c>
      <c r="J5" s="409">
        <v>130</v>
      </c>
      <c r="K5" s="448">
        <v>197</v>
      </c>
      <c r="L5" s="593">
        <v>90</v>
      </c>
      <c r="M5" s="448">
        <v>157</v>
      </c>
      <c r="N5" s="593">
        <v>95</v>
      </c>
      <c r="O5" s="593">
        <v>251.25</v>
      </c>
      <c r="P5" s="452">
        <f>M5/O5</f>
        <v>0.62487562189054724</v>
      </c>
      <c r="Q5" s="476">
        <v>28</v>
      </c>
      <c r="R5" s="476">
        <v>29</v>
      </c>
      <c r="S5" s="561">
        <v>1284395</v>
      </c>
      <c r="T5" s="431">
        <v>1284395</v>
      </c>
      <c r="U5" s="475">
        <f>T5-V5</f>
        <v>1279082</v>
      </c>
      <c r="V5" s="475">
        <f>5170+143</f>
        <v>5313</v>
      </c>
      <c r="W5" s="335">
        <f>V5/T5</f>
        <v>4.1365779219009729E-3</v>
      </c>
    </row>
    <row r="6" spans="1:220" s="17" customFormat="1">
      <c r="A6" s="33">
        <v>2018</v>
      </c>
      <c r="B6" s="20">
        <v>8</v>
      </c>
      <c r="C6" s="20">
        <v>5.5</v>
      </c>
      <c r="D6" s="29">
        <f>SUM(B6:C6)</f>
        <v>13.5</v>
      </c>
      <c r="E6" s="172">
        <f>ROUND((O6/B6), 0)</f>
        <v>17</v>
      </c>
      <c r="F6" s="172">
        <f>ROUND((O6/D6), 0)</f>
        <v>10</v>
      </c>
      <c r="G6" s="394">
        <v>9</v>
      </c>
      <c r="H6" s="394">
        <v>4</v>
      </c>
      <c r="I6" s="20">
        <v>32</v>
      </c>
      <c r="J6" s="20">
        <v>59</v>
      </c>
      <c r="K6" s="29">
        <f t="shared" ref="K6" si="4">SUM(I6:J6)</f>
        <v>91</v>
      </c>
      <c r="L6" s="20">
        <v>40.75</v>
      </c>
      <c r="M6" s="172">
        <f>(I6+L6)</f>
        <v>72.75</v>
      </c>
      <c r="N6" s="20">
        <v>49</v>
      </c>
      <c r="O6" s="20">
        <v>135</v>
      </c>
      <c r="P6" s="183">
        <f>M6/O6</f>
        <v>0.53888888888888886</v>
      </c>
      <c r="Q6" s="20">
        <v>39</v>
      </c>
      <c r="R6" s="20">
        <v>22</v>
      </c>
      <c r="S6" s="24">
        <v>1331613.1200000001</v>
      </c>
      <c r="T6" s="30">
        <f>SUM(U6:V6)</f>
        <v>1331613.1200000001</v>
      </c>
      <c r="U6" s="24">
        <v>1282536</v>
      </c>
      <c r="V6" s="24">
        <v>49077.120000000003</v>
      </c>
      <c r="W6" s="185">
        <f>V6/T6</f>
        <v>3.6855389349122664E-2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8</v>
      </c>
      <c r="C7" s="20">
        <v>4.05</v>
      </c>
      <c r="D7" s="34">
        <f>SUM(B7:C7)</f>
        <v>12.05</v>
      </c>
      <c r="E7" s="34">
        <f>ROUND((O7/B7), 0)</f>
        <v>24</v>
      </c>
      <c r="F7" s="34">
        <f>ROUND((O7/D7), 0)</f>
        <v>16</v>
      </c>
      <c r="G7" s="394">
        <v>6</v>
      </c>
      <c r="H7" s="394">
        <v>1.125</v>
      </c>
      <c r="I7" s="20">
        <v>102</v>
      </c>
      <c r="J7" s="20">
        <v>15</v>
      </c>
      <c r="K7" s="34">
        <f>SUM(I7:J7)</f>
        <v>117</v>
      </c>
      <c r="L7" s="20">
        <v>7.5</v>
      </c>
      <c r="M7" s="36">
        <f>(I7+L7)</f>
        <v>109.5</v>
      </c>
      <c r="N7" s="344">
        <v>69</v>
      </c>
      <c r="O7" s="344">
        <v>192</v>
      </c>
      <c r="P7" s="183">
        <f t="shared" ref="P7:P22" si="5">M7/O7</f>
        <v>0.5703125</v>
      </c>
      <c r="Q7" s="20">
        <v>35</v>
      </c>
      <c r="R7" s="20">
        <v>20</v>
      </c>
      <c r="S7" s="300">
        <v>1345692</v>
      </c>
      <c r="T7" s="35">
        <f>SUM(U7:V7)</f>
        <v>1345412</v>
      </c>
      <c r="U7" s="341">
        <v>1267692</v>
      </c>
      <c r="V7" s="24">
        <v>77720</v>
      </c>
      <c r="W7" s="185">
        <f t="shared" ref="W7:W22" si="6">V7/T7</f>
        <v>5.7766691541327117E-2</v>
      </c>
    </row>
    <row r="8" spans="1:220" s="101" customFormat="1">
      <c r="A8" s="95">
        <v>2016</v>
      </c>
      <c r="B8" s="407">
        <v>9</v>
      </c>
      <c r="C8" s="407">
        <v>9</v>
      </c>
      <c r="D8" s="108">
        <f>B8+C8</f>
        <v>18</v>
      </c>
      <c r="E8" s="109">
        <f>ROUND((O8/B8), 0)</f>
        <v>16</v>
      </c>
      <c r="F8" s="109">
        <f>ROUND((O8/D8), 0)</f>
        <v>8</v>
      </c>
      <c r="G8" s="149">
        <v>9</v>
      </c>
      <c r="H8" s="149">
        <v>9</v>
      </c>
      <c r="I8" s="407">
        <v>42</v>
      </c>
      <c r="J8" s="407">
        <v>42</v>
      </c>
      <c r="K8" s="108">
        <f>I8+J8</f>
        <v>84</v>
      </c>
      <c r="L8" s="407">
        <v>28.75</v>
      </c>
      <c r="M8" s="109">
        <f>I8+L8</f>
        <v>70.75</v>
      </c>
      <c r="N8" s="407">
        <v>48</v>
      </c>
      <c r="O8" s="407">
        <v>140.5</v>
      </c>
      <c r="P8" s="183">
        <f t="shared" si="5"/>
        <v>0.50355871886120995</v>
      </c>
      <c r="Q8" s="407">
        <v>70</v>
      </c>
      <c r="R8" s="407">
        <v>98</v>
      </c>
      <c r="S8" s="100">
        <v>1075748</v>
      </c>
      <c r="T8" s="110">
        <f>SUM(U8:V8)</f>
        <v>1223752</v>
      </c>
      <c r="U8" s="100">
        <v>1075811</v>
      </c>
      <c r="V8" s="100">
        <v>147941</v>
      </c>
      <c r="W8" s="185">
        <f t="shared" si="6"/>
        <v>0.12089132438598671</v>
      </c>
    </row>
    <row r="9" spans="1:220" s="65" customFormat="1">
      <c r="A9" s="95">
        <v>2015</v>
      </c>
      <c r="B9" s="63">
        <v>9</v>
      </c>
      <c r="C9" s="63">
        <v>5</v>
      </c>
      <c r="D9" s="87">
        <v>14</v>
      </c>
      <c r="E9" s="87">
        <v>20.2</v>
      </c>
      <c r="F9" s="87">
        <v>13</v>
      </c>
      <c r="G9" s="111"/>
      <c r="H9" s="111"/>
      <c r="I9" s="63">
        <v>47</v>
      </c>
      <c r="J9" s="63">
        <v>83</v>
      </c>
      <c r="K9" s="87">
        <v>130</v>
      </c>
      <c r="L9" s="63">
        <v>57.5</v>
      </c>
      <c r="M9" s="87">
        <v>104.5</v>
      </c>
      <c r="N9" s="63">
        <v>76</v>
      </c>
      <c r="O9" s="63">
        <v>181.8</v>
      </c>
      <c r="P9" s="183">
        <f t="shared" si="5"/>
        <v>0.57480748074807475</v>
      </c>
      <c r="Q9" s="63">
        <v>64</v>
      </c>
      <c r="R9" s="63">
        <v>15</v>
      </c>
      <c r="S9" s="102">
        <v>1513281</v>
      </c>
      <c r="T9" s="103">
        <v>1669724</v>
      </c>
      <c r="U9" s="102">
        <v>1461968</v>
      </c>
      <c r="V9" s="102">
        <v>207756</v>
      </c>
      <c r="W9" s="185">
        <f t="shared" si="6"/>
        <v>0.12442535413038322</v>
      </c>
    </row>
    <row r="10" spans="1:220" s="105" customFormat="1">
      <c r="A10" s="90">
        <v>2014</v>
      </c>
      <c r="B10" s="91">
        <v>11</v>
      </c>
      <c r="C10" s="91">
        <v>3.33</v>
      </c>
      <c r="D10" s="81">
        <f>B10+C10</f>
        <v>14.33</v>
      </c>
      <c r="E10" s="82">
        <f t="shared" ref="E10:E22" si="7">ROUND((O10/B10), 0)</f>
        <v>20</v>
      </c>
      <c r="F10" s="82">
        <f t="shared" ref="F10:F22" si="8">ROUND((O10/D10), 0)</f>
        <v>16</v>
      </c>
      <c r="G10" s="111"/>
      <c r="H10" s="111"/>
      <c r="I10" s="91">
        <v>54</v>
      </c>
      <c r="J10" s="91">
        <v>114</v>
      </c>
      <c r="K10" s="81">
        <f>I10+J10</f>
        <v>168</v>
      </c>
      <c r="L10" s="91">
        <v>78.5</v>
      </c>
      <c r="M10" s="82">
        <f>I10+L10</f>
        <v>132.5</v>
      </c>
      <c r="N10" s="91">
        <v>77</v>
      </c>
      <c r="O10" s="91">
        <v>225</v>
      </c>
      <c r="P10" s="183">
        <f t="shared" si="5"/>
        <v>0.58888888888888891</v>
      </c>
      <c r="Q10" s="91">
        <v>78</v>
      </c>
      <c r="R10" s="91">
        <v>23</v>
      </c>
      <c r="S10" s="92">
        <v>1378862</v>
      </c>
      <c r="T10" s="85">
        <f t="shared" ref="T10:T22" si="9">SUM(U10:V10)</f>
        <v>1461968</v>
      </c>
      <c r="U10" s="92">
        <v>1461968</v>
      </c>
      <c r="V10" s="92">
        <v>0</v>
      </c>
      <c r="W10" s="185">
        <f t="shared" si="6"/>
        <v>0</v>
      </c>
    </row>
    <row r="11" spans="1:220" s="71" customFormat="1">
      <c r="A11" s="90">
        <v>2013</v>
      </c>
      <c r="B11" s="408">
        <v>11</v>
      </c>
      <c r="C11" s="408">
        <v>9</v>
      </c>
      <c r="D11" s="108">
        <f>B11+C11</f>
        <v>20</v>
      </c>
      <c r="E11" s="109">
        <f t="shared" si="7"/>
        <v>27</v>
      </c>
      <c r="F11" s="109">
        <f>ROUND((O11/D11), 0)</f>
        <v>15</v>
      </c>
      <c r="G11" s="113"/>
      <c r="H11" s="113"/>
      <c r="I11" s="408">
        <v>120</v>
      </c>
      <c r="J11" s="408">
        <v>151</v>
      </c>
      <c r="K11" s="108">
        <f>I11+J11</f>
        <v>271</v>
      </c>
      <c r="L11" s="408">
        <v>79.75</v>
      </c>
      <c r="M11" s="109">
        <f>I11+L11</f>
        <v>199.75</v>
      </c>
      <c r="N11" s="408">
        <v>146</v>
      </c>
      <c r="O11" s="408">
        <v>294.75</v>
      </c>
      <c r="P11" s="183">
        <f t="shared" si="5"/>
        <v>0.67769296013570823</v>
      </c>
      <c r="Q11" s="408">
        <v>130</v>
      </c>
      <c r="R11" s="408">
        <v>20</v>
      </c>
      <c r="S11" s="112">
        <v>1422819</v>
      </c>
      <c r="T11" s="110">
        <f t="shared" si="9"/>
        <v>1906239</v>
      </c>
      <c r="U11" s="112">
        <v>1617098</v>
      </c>
      <c r="V11" s="112">
        <v>289141</v>
      </c>
      <c r="W11" s="185">
        <f t="shared" si="6"/>
        <v>0.15168139986643858</v>
      </c>
    </row>
    <row r="12" spans="1:220" s="71" customFormat="1">
      <c r="A12" s="90">
        <v>2012</v>
      </c>
      <c r="B12" s="408">
        <v>9</v>
      </c>
      <c r="C12" s="408">
        <v>9</v>
      </c>
      <c r="D12" s="108">
        <f>B12+C12</f>
        <v>18</v>
      </c>
      <c r="E12" s="109">
        <f t="shared" si="7"/>
        <v>29</v>
      </c>
      <c r="F12" s="109">
        <f t="shared" si="8"/>
        <v>15</v>
      </c>
      <c r="G12" s="113"/>
      <c r="H12" s="113"/>
      <c r="I12" s="408">
        <v>82</v>
      </c>
      <c r="J12" s="408">
        <v>148</v>
      </c>
      <c r="K12" s="108">
        <f>I12+J12</f>
        <v>230</v>
      </c>
      <c r="L12" s="408">
        <v>100</v>
      </c>
      <c r="M12" s="109">
        <f>I12+L12</f>
        <v>182</v>
      </c>
      <c r="N12" s="408">
        <v>73</v>
      </c>
      <c r="O12" s="408">
        <v>261.5</v>
      </c>
      <c r="P12" s="183">
        <f t="shared" si="5"/>
        <v>0.69598470363288722</v>
      </c>
      <c r="Q12" s="408">
        <v>97</v>
      </c>
      <c r="R12" s="408">
        <v>23</v>
      </c>
      <c r="S12" s="112">
        <v>1906639</v>
      </c>
      <c r="T12" s="110">
        <f t="shared" si="9"/>
        <v>1906239</v>
      </c>
      <c r="U12" s="112">
        <v>1617098</v>
      </c>
      <c r="V12" s="112">
        <v>289141</v>
      </c>
      <c r="W12" s="185">
        <f t="shared" si="6"/>
        <v>0.15168139986643858</v>
      </c>
    </row>
    <row r="13" spans="1:220" s="71" customFormat="1">
      <c r="A13" s="90">
        <v>2011</v>
      </c>
      <c r="B13" s="408">
        <v>11</v>
      </c>
      <c r="C13" s="408">
        <v>5.66</v>
      </c>
      <c r="D13" s="108">
        <f t="shared" ref="D13:D22" si="10">SUM(B13:C13)</f>
        <v>16.66</v>
      </c>
      <c r="E13" s="109">
        <f t="shared" si="7"/>
        <v>21</v>
      </c>
      <c r="F13" s="109">
        <f t="shared" si="8"/>
        <v>14</v>
      </c>
      <c r="G13" s="113"/>
      <c r="H13" s="113"/>
      <c r="I13" s="408">
        <v>79</v>
      </c>
      <c r="J13" s="408">
        <v>172</v>
      </c>
      <c r="K13" s="108">
        <f t="shared" ref="K13:K22" si="11">SUM(I13:J13)</f>
        <v>251</v>
      </c>
      <c r="L13" s="408">
        <v>112.75</v>
      </c>
      <c r="M13" s="109">
        <f t="shared" ref="M13:M22" si="12">(I13+L13)</f>
        <v>191.75</v>
      </c>
      <c r="N13" s="408">
        <v>65</v>
      </c>
      <c r="O13" s="408">
        <v>230.25</v>
      </c>
      <c r="P13" s="183">
        <f t="shared" si="5"/>
        <v>0.83279044516829537</v>
      </c>
      <c r="Q13" s="408">
        <v>127</v>
      </c>
      <c r="R13" s="408">
        <v>24</v>
      </c>
      <c r="S13" s="112">
        <v>1475935</v>
      </c>
      <c r="T13" s="110">
        <f t="shared" si="9"/>
        <v>1693719.6</v>
      </c>
      <c r="U13" s="112">
        <v>1515719.6</v>
      </c>
      <c r="V13" s="112">
        <v>178000</v>
      </c>
      <c r="W13" s="185">
        <f t="shared" si="6"/>
        <v>0.10509413718776119</v>
      </c>
    </row>
    <row r="14" spans="1:220" s="71" customFormat="1">
      <c r="A14" s="90">
        <v>2010</v>
      </c>
      <c r="B14" s="408">
        <v>11</v>
      </c>
      <c r="C14" s="408">
        <v>4.4800000000000004</v>
      </c>
      <c r="D14" s="108">
        <f t="shared" si="10"/>
        <v>15.48</v>
      </c>
      <c r="E14" s="109">
        <f t="shared" si="7"/>
        <v>29</v>
      </c>
      <c r="F14" s="109">
        <f t="shared" si="8"/>
        <v>20</v>
      </c>
      <c r="G14" s="113"/>
      <c r="H14" s="113"/>
      <c r="I14" s="408">
        <v>100</v>
      </c>
      <c r="J14" s="408">
        <v>206</v>
      </c>
      <c r="K14" s="108">
        <f t="shared" si="11"/>
        <v>306</v>
      </c>
      <c r="L14" s="408">
        <v>136.25</v>
      </c>
      <c r="M14" s="109">
        <f t="shared" si="12"/>
        <v>236.25</v>
      </c>
      <c r="N14" s="408">
        <v>96</v>
      </c>
      <c r="O14" s="408">
        <v>316</v>
      </c>
      <c r="P14" s="183">
        <f t="shared" si="5"/>
        <v>0.747626582278481</v>
      </c>
      <c r="Q14" s="408">
        <v>112</v>
      </c>
      <c r="R14" s="408">
        <v>36</v>
      </c>
      <c r="S14" s="112">
        <v>1660603</v>
      </c>
      <c r="T14" s="110">
        <f t="shared" si="9"/>
        <v>1671553</v>
      </c>
      <c r="U14" s="112">
        <v>1541257</v>
      </c>
      <c r="V14" s="112">
        <v>130296</v>
      </c>
      <c r="W14" s="185">
        <f t="shared" si="6"/>
        <v>7.7949068919741099E-2</v>
      </c>
    </row>
    <row r="15" spans="1:220" s="71" customFormat="1">
      <c r="A15" s="90">
        <v>2009</v>
      </c>
      <c r="B15" s="408">
        <v>10</v>
      </c>
      <c r="C15" s="408">
        <v>4.76</v>
      </c>
      <c r="D15" s="108">
        <f t="shared" si="10"/>
        <v>14.76</v>
      </c>
      <c r="E15" s="109">
        <f t="shared" si="7"/>
        <v>32</v>
      </c>
      <c r="F15" s="109">
        <f t="shared" si="8"/>
        <v>21</v>
      </c>
      <c r="G15" s="113"/>
      <c r="H15" s="113"/>
      <c r="I15" s="408">
        <v>94</v>
      </c>
      <c r="J15" s="408">
        <v>206</v>
      </c>
      <c r="K15" s="108">
        <f t="shared" si="11"/>
        <v>300</v>
      </c>
      <c r="L15" s="408">
        <v>135.25</v>
      </c>
      <c r="M15" s="109">
        <f t="shared" si="12"/>
        <v>229.25</v>
      </c>
      <c r="N15" s="408">
        <v>94</v>
      </c>
      <c r="O15" s="408">
        <v>316.75</v>
      </c>
      <c r="P15" s="183">
        <f t="shared" si="5"/>
        <v>0.72375690607734811</v>
      </c>
      <c r="Q15" s="408">
        <v>81</v>
      </c>
      <c r="R15" s="408">
        <v>24</v>
      </c>
      <c r="S15" s="112">
        <v>1506927</v>
      </c>
      <c r="T15" s="110">
        <f t="shared" si="9"/>
        <v>1264425</v>
      </c>
      <c r="U15" s="112">
        <v>1140441</v>
      </c>
      <c r="V15" s="112">
        <v>123984</v>
      </c>
      <c r="W15" s="185">
        <f t="shared" si="6"/>
        <v>9.8055637938193246E-2</v>
      </c>
    </row>
    <row r="16" spans="1:220" s="71" customFormat="1">
      <c r="A16" s="90">
        <v>2008</v>
      </c>
      <c r="B16" s="408">
        <v>12</v>
      </c>
      <c r="C16" s="408">
        <v>4</v>
      </c>
      <c r="D16" s="108">
        <f t="shared" si="10"/>
        <v>16</v>
      </c>
      <c r="E16" s="109">
        <f t="shared" si="7"/>
        <v>20</v>
      </c>
      <c r="F16" s="109">
        <f t="shared" si="8"/>
        <v>15</v>
      </c>
      <c r="G16" s="113"/>
      <c r="H16" s="113"/>
      <c r="I16" s="408">
        <v>74</v>
      </c>
      <c r="J16" s="408">
        <v>169</v>
      </c>
      <c r="K16" s="108">
        <f t="shared" si="11"/>
        <v>243</v>
      </c>
      <c r="L16" s="408">
        <v>115</v>
      </c>
      <c r="M16" s="109">
        <f t="shared" si="12"/>
        <v>189</v>
      </c>
      <c r="N16" s="408">
        <v>85</v>
      </c>
      <c r="O16" s="408">
        <v>241</v>
      </c>
      <c r="P16" s="183">
        <f t="shared" si="5"/>
        <v>0.78423236514522821</v>
      </c>
      <c r="Q16" s="408">
        <v>66</v>
      </c>
      <c r="R16" s="408">
        <v>32</v>
      </c>
      <c r="S16" s="112">
        <v>1575085</v>
      </c>
      <c r="T16" s="110">
        <f t="shared" si="9"/>
        <v>1575085</v>
      </c>
      <c r="U16" s="112">
        <v>1453101</v>
      </c>
      <c r="V16" s="112">
        <v>121984</v>
      </c>
      <c r="W16" s="185">
        <f t="shared" si="6"/>
        <v>7.7445979105889518E-2</v>
      </c>
    </row>
    <row r="17" spans="1:23" s="71" customFormat="1">
      <c r="A17" s="90">
        <v>2007</v>
      </c>
      <c r="B17" s="408">
        <v>12</v>
      </c>
      <c r="C17" s="408">
        <v>3</v>
      </c>
      <c r="D17" s="194">
        <f t="shared" si="10"/>
        <v>15</v>
      </c>
      <c r="E17" s="109">
        <f t="shared" si="7"/>
        <v>14</v>
      </c>
      <c r="F17" s="109">
        <f t="shared" si="8"/>
        <v>11</v>
      </c>
      <c r="G17" s="113"/>
      <c r="H17" s="113"/>
      <c r="I17" s="408">
        <v>53</v>
      </c>
      <c r="J17" s="408">
        <v>150</v>
      </c>
      <c r="K17" s="194">
        <f t="shared" si="11"/>
        <v>203</v>
      </c>
      <c r="L17" s="408">
        <v>83</v>
      </c>
      <c r="M17" s="109">
        <f t="shared" si="12"/>
        <v>136</v>
      </c>
      <c r="N17" s="408">
        <v>71</v>
      </c>
      <c r="O17" s="408">
        <v>171.7</v>
      </c>
      <c r="P17" s="183">
        <f t="shared" si="5"/>
        <v>0.79207920792079212</v>
      </c>
      <c r="Q17" s="408">
        <v>72</v>
      </c>
      <c r="R17" s="408">
        <v>34</v>
      </c>
      <c r="S17" s="250">
        <v>1384786</v>
      </c>
      <c r="T17" s="110">
        <f t="shared" si="9"/>
        <v>1384785.75</v>
      </c>
      <c r="U17" s="250">
        <v>1262801.75</v>
      </c>
      <c r="V17" s="250">
        <v>121984</v>
      </c>
      <c r="W17" s="185">
        <f t="shared" si="6"/>
        <v>8.8088716973004674E-2</v>
      </c>
    </row>
    <row r="18" spans="1:23" s="71" customFormat="1">
      <c r="A18" s="90">
        <v>2006</v>
      </c>
      <c r="B18" s="408">
        <v>10</v>
      </c>
      <c r="C18" s="408">
        <v>4</v>
      </c>
      <c r="D18" s="194">
        <f t="shared" si="10"/>
        <v>14</v>
      </c>
      <c r="E18" s="109">
        <f t="shared" si="7"/>
        <v>21</v>
      </c>
      <c r="F18" s="109">
        <f t="shared" si="8"/>
        <v>15</v>
      </c>
      <c r="G18" s="113"/>
      <c r="H18" s="113"/>
      <c r="I18" s="408">
        <v>46</v>
      </c>
      <c r="J18" s="408">
        <v>172</v>
      </c>
      <c r="K18" s="194">
        <f t="shared" si="11"/>
        <v>218</v>
      </c>
      <c r="L18" s="408">
        <v>110</v>
      </c>
      <c r="M18" s="109">
        <f t="shared" si="12"/>
        <v>156</v>
      </c>
      <c r="N18" s="408">
        <v>65</v>
      </c>
      <c r="O18" s="408">
        <v>210</v>
      </c>
      <c r="P18" s="183">
        <f t="shared" si="5"/>
        <v>0.74285714285714288</v>
      </c>
      <c r="Q18" s="408">
        <v>62</v>
      </c>
      <c r="R18" s="408">
        <v>27</v>
      </c>
      <c r="S18" s="192">
        <v>1501581</v>
      </c>
      <c r="T18" s="110">
        <f t="shared" si="9"/>
        <v>1501581</v>
      </c>
      <c r="U18" s="192">
        <v>1361195</v>
      </c>
      <c r="V18" s="192">
        <v>140386</v>
      </c>
      <c r="W18" s="185">
        <f t="shared" si="6"/>
        <v>9.3492125965898606E-2</v>
      </c>
    </row>
    <row r="19" spans="1:23" s="71" customFormat="1">
      <c r="A19" s="90">
        <v>2005</v>
      </c>
      <c r="B19" s="408">
        <v>10</v>
      </c>
      <c r="C19" s="408">
        <v>4</v>
      </c>
      <c r="D19" s="194">
        <f t="shared" si="10"/>
        <v>14</v>
      </c>
      <c r="E19" s="109">
        <f t="shared" si="7"/>
        <v>19</v>
      </c>
      <c r="F19" s="109">
        <f t="shared" si="8"/>
        <v>13</v>
      </c>
      <c r="G19" s="113"/>
      <c r="H19" s="113"/>
      <c r="I19" s="408">
        <v>33</v>
      </c>
      <c r="J19" s="408">
        <v>159</v>
      </c>
      <c r="K19" s="194">
        <f t="shared" si="11"/>
        <v>192</v>
      </c>
      <c r="L19" s="408">
        <v>102</v>
      </c>
      <c r="M19" s="109">
        <f t="shared" si="12"/>
        <v>135</v>
      </c>
      <c r="N19" s="408">
        <v>53</v>
      </c>
      <c r="O19" s="408">
        <v>185</v>
      </c>
      <c r="P19" s="183">
        <f t="shared" si="5"/>
        <v>0.72972972972972971</v>
      </c>
      <c r="Q19" s="408">
        <v>88</v>
      </c>
      <c r="R19" s="408">
        <v>38</v>
      </c>
      <c r="S19" s="192">
        <v>988009</v>
      </c>
      <c r="T19" s="110">
        <f t="shared" si="9"/>
        <v>1153009</v>
      </c>
      <c r="U19" s="192">
        <v>979918</v>
      </c>
      <c r="V19" s="192">
        <v>173091</v>
      </c>
      <c r="W19" s="185">
        <f t="shared" si="6"/>
        <v>0.15012111787505561</v>
      </c>
    </row>
    <row r="20" spans="1:23" s="71" customFormat="1">
      <c r="A20" s="90">
        <v>2004</v>
      </c>
      <c r="B20" s="195">
        <v>6</v>
      </c>
      <c r="C20" s="195">
        <v>2</v>
      </c>
      <c r="D20" s="194">
        <f t="shared" si="10"/>
        <v>8</v>
      </c>
      <c r="E20" s="109">
        <f t="shared" si="7"/>
        <v>23</v>
      </c>
      <c r="F20" s="109">
        <f t="shared" si="8"/>
        <v>17</v>
      </c>
      <c r="G20" s="113"/>
      <c r="H20" s="113"/>
      <c r="I20" s="195">
        <v>37</v>
      </c>
      <c r="J20" s="195">
        <v>154</v>
      </c>
      <c r="K20" s="194">
        <f t="shared" si="11"/>
        <v>191</v>
      </c>
      <c r="L20" s="195">
        <v>61</v>
      </c>
      <c r="M20" s="109">
        <f t="shared" si="12"/>
        <v>98</v>
      </c>
      <c r="N20" s="195">
        <v>58</v>
      </c>
      <c r="O20" s="195">
        <v>135</v>
      </c>
      <c r="P20" s="183">
        <f t="shared" si="5"/>
        <v>0.72592592592592597</v>
      </c>
      <c r="Q20" s="195">
        <v>48</v>
      </c>
      <c r="R20" s="408">
        <v>30</v>
      </c>
      <c r="S20" s="192">
        <v>1360931</v>
      </c>
      <c r="T20" s="110">
        <f t="shared" si="9"/>
        <v>1360931</v>
      </c>
      <c r="U20" s="192">
        <v>1185364</v>
      </c>
      <c r="V20" s="192">
        <v>175567</v>
      </c>
      <c r="W20" s="185">
        <f t="shared" si="6"/>
        <v>0.12900507079344947</v>
      </c>
    </row>
    <row r="21" spans="1:23" s="71" customFormat="1">
      <c r="A21" s="90">
        <v>2003</v>
      </c>
      <c r="B21" s="195">
        <v>7</v>
      </c>
      <c r="C21" s="195">
        <v>3</v>
      </c>
      <c r="D21" s="194">
        <f t="shared" si="10"/>
        <v>10</v>
      </c>
      <c r="E21" s="109">
        <f t="shared" si="7"/>
        <v>22</v>
      </c>
      <c r="F21" s="109">
        <f t="shared" si="8"/>
        <v>15</v>
      </c>
      <c r="G21" s="113"/>
      <c r="H21" s="113"/>
      <c r="I21" s="195">
        <v>30</v>
      </c>
      <c r="J21" s="195">
        <v>144</v>
      </c>
      <c r="K21" s="194">
        <f t="shared" si="11"/>
        <v>174</v>
      </c>
      <c r="L21" s="195">
        <v>76</v>
      </c>
      <c r="M21" s="109">
        <f t="shared" si="12"/>
        <v>106</v>
      </c>
      <c r="N21" s="195">
        <v>60</v>
      </c>
      <c r="O21" s="195">
        <v>154</v>
      </c>
      <c r="P21" s="183">
        <f t="shared" si="5"/>
        <v>0.68831168831168832</v>
      </c>
      <c r="Q21" s="195">
        <v>58</v>
      </c>
      <c r="R21" s="408">
        <v>43</v>
      </c>
      <c r="S21" s="192">
        <v>1389071</v>
      </c>
      <c r="T21" s="110">
        <f t="shared" si="9"/>
        <v>1389071</v>
      </c>
      <c r="U21" s="192">
        <v>1101278</v>
      </c>
      <c r="V21" s="192">
        <v>287793</v>
      </c>
      <c r="W21" s="185">
        <f t="shared" si="6"/>
        <v>0.20718379406092274</v>
      </c>
    </row>
    <row r="22" spans="1:23" s="71" customFormat="1">
      <c r="A22" s="90">
        <v>2002</v>
      </c>
      <c r="B22" s="195">
        <v>8</v>
      </c>
      <c r="C22" s="195">
        <f>ROUND(2.5, 0)</f>
        <v>3</v>
      </c>
      <c r="D22" s="194">
        <f t="shared" si="10"/>
        <v>11</v>
      </c>
      <c r="E22" s="109">
        <f t="shared" si="7"/>
        <v>21</v>
      </c>
      <c r="F22" s="109">
        <f t="shared" si="8"/>
        <v>15</v>
      </c>
      <c r="G22" s="113"/>
      <c r="H22" s="113"/>
      <c r="I22" s="195">
        <v>32</v>
      </c>
      <c r="J22" s="195">
        <v>127</v>
      </c>
      <c r="K22" s="194">
        <f t="shared" si="11"/>
        <v>159</v>
      </c>
      <c r="L22" s="195">
        <f>ROUND(74.25, 0)</f>
        <v>74</v>
      </c>
      <c r="M22" s="109">
        <f t="shared" si="12"/>
        <v>106</v>
      </c>
      <c r="N22" s="195">
        <v>53</v>
      </c>
      <c r="O22" s="195">
        <f>ROUND(168.5, 0)</f>
        <v>169</v>
      </c>
      <c r="P22" s="183">
        <f t="shared" si="5"/>
        <v>0.62721893491124259</v>
      </c>
      <c r="Q22" s="195">
        <v>54</v>
      </c>
      <c r="R22" s="408">
        <v>41</v>
      </c>
      <c r="S22" s="192">
        <v>1175608</v>
      </c>
      <c r="T22" s="110">
        <f t="shared" si="9"/>
        <v>1175608</v>
      </c>
      <c r="U22" s="192">
        <v>1067758</v>
      </c>
      <c r="V22" s="192">
        <v>107850</v>
      </c>
      <c r="W22" s="185">
        <f t="shared" si="6"/>
        <v>9.1739763594667609E-2</v>
      </c>
    </row>
    <row r="23" spans="1:23" s="14" customFormat="1" ht="20.25" customHeight="1">
      <c r="G23"/>
      <c r="H23"/>
    </row>
    <row r="24" spans="1:23" s="14" customFormat="1" ht="20.25" customHeight="1">
      <c r="G24"/>
      <c r="H24"/>
    </row>
    <row r="25" spans="1:23" s="14" customFormat="1" ht="20.25" customHeight="1">
      <c r="G25"/>
      <c r="H25"/>
    </row>
    <row r="26" spans="1:23" s="14" customFormat="1" ht="20.25" customHeight="1">
      <c r="G26"/>
      <c r="H26"/>
    </row>
    <row r="27" spans="1:23" s="14" customFormat="1" ht="20.25" customHeight="1">
      <c r="G27"/>
      <c r="H27"/>
    </row>
    <row r="28" spans="1:23" s="14" customFormat="1" ht="20.25" customHeight="1">
      <c r="G28"/>
      <c r="H28"/>
    </row>
    <row r="29" spans="1:23" s="14" customFormat="1" ht="20.25" customHeight="1">
      <c r="G29"/>
      <c r="H29"/>
    </row>
    <row r="30" spans="1:23" s="14" customFormat="1" ht="20.25" customHeight="1">
      <c r="G30"/>
      <c r="H30"/>
    </row>
    <row r="31" spans="1:23" s="14" customFormat="1" ht="20.25" customHeight="1">
      <c r="G31"/>
      <c r="H31"/>
    </row>
    <row r="32" spans="1:23" s="14" customFormat="1" ht="20.25" customHeight="1">
      <c r="G32"/>
      <c r="H32"/>
    </row>
    <row r="33" spans="7:8" s="14" customFormat="1">
      <c r="G33"/>
      <c r="H33"/>
    </row>
  </sheetData>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L32"/>
  <sheetViews>
    <sheetView workbookViewId="0">
      <selection activeCell="F32" sqref="F32"/>
    </sheetView>
  </sheetViews>
  <sheetFormatPr defaultColWidth="8.85546875" defaultRowHeight="15"/>
  <cols>
    <col min="1" max="1" width="10.140625" customWidth="1"/>
    <col min="2" max="2" width="9.28515625" customWidth="1"/>
    <col min="3" max="3" width="9.5703125" customWidth="1"/>
    <col min="4" max="4" width="9" customWidth="1"/>
    <col min="5" max="8" width="12.140625" customWidth="1"/>
    <col min="9" max="9" width="9.140625" customWidth="1"/>
    <col min="10" max="10" width="10.42578125" customWidth="1"/>
    <col min="11" max="11" width="11.5703125" customWidth="1"/>
    <col min="12" max="12" width="9.28515625" customWidth="1"/>
    <col min="13" max="13" width="11.5703125" customWidth="1"/>
    <col min="14" max="14" width="11.7109375" customWidth="1"/>
    <col min="15" max="15" width="14.42578125" customWidth="1"/>
    <col min="16" max="16" width="11.7109375" customWidth="1"/>
    <col min="17" max="17" width="10.85546875" customWidth="1"/>
    <col min="18" max="18" width="10.28515625" customWidth="1"/>
    <col min="19" max="19" width="11.85546875" bestFit="1" customWidth="1"/>
    <col min="20" max="20" width="12.85546875" bestFit="1" customWidth="1"/>
    <col min="21" max="23" width="14.42578125" customWidth="1"/>
  </cols>
  <sheetData>
    <row r="1" spans="1:220" s="8" customFormat="1" ht="18.75">
      <c r="A1" s="1" t="s">
        <v>68</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11">
        <v>2021</v>
      </c>
      <c r="B3" s="20">
        <v>23</v>
      </c>
      <c r="C3" s="20">
        <v>11.8</v>
      </c>
      <c r="D3" s="410">
        <f>SUM(B3:C3)</f>
        <v>34.799999999999997</v>
      </c>
      <c r="E3" s="411">
        <f t="shared" ref="E3" si="0">ROUND((O3/B3), 0)</f>
        <v>16</v>
      </c>
      <c r="F3" s="411">
        <f t="shared" ref="F3" si="1">ROUND((O3/D3), 0)</f>
        <v>11</v>
      </c>
      <c r="G3" s="20">
        <v>23</v>
      </c>
      <c r="H3" s="20">
        <v>11.3</v>
      </c>
      <c r="I3" s="20">
        <v>231</v>
      </c>
      <c r="J3" s="20">
        <v>24</v>
      </c>
      <c r="K3" s="410">
        <f>SUM(I3:J3)</f>
        <v>255</v>
      </c>
      <c r="L3" s="20">
        <v>14</v>
      </c>
      <c r="M3" s="411">
        <f>(I3+L3)</f>
        <v>245</v>
      </c>
      <c r="N3" s="20">
        <v>51</v>
      </c>
      <c r="O3" s="20">
        <v>372</v>
      </c>
      <c r="P3" s="413">
        <f>M3/O3</f>
        <v>0.65860215053763438</v>
      </c>
      <c r="Q3" s="20">
        <v>82</v>
      </c>
      <c r="R3" s="20">
        <v>79</v>
      </c>
      <c r="S3" s="24">
        <v>12588222</v>
      </c>
      <c r="T3" s="415">
        <f t="shared" ref="T3" si="2">SUM(U3:V3)</f>
        <v>21235514</v>
      </c>
      <c r="U3" s="24">
        <v>21235514</v>
      </c>
      <c r="V3" s="24">
        <v>0</v>
      </c>
      <c r="W3" s="335">
        <f>SUM(X3:Y3)</f>
        <v>0</v>
      </c>
    </row>
    <row r="4" spans="1:220">
      <c r="A4" s="11">
        <v>2020</v>
      </c>
      <c r="B4" s="20">
        <v>26</v>
      </c>
      <c r="C4" s="20">
        <v>12.96</v>
      </c>
      <c r="D4" s="410">
        <f>SUM(B4:C4)</f>
        <v>38.96</v>
      </c>
      <c r="E4" s="411">
        <f>ROUND((O4/B4), 0)</f>
        <v>12</v>
      </c>
      <c r="F4" s="411">
        <f>ROUND((O4/D4), 0)</f>
        <v>8</v>
      </c>
      <c r="G4" s="20">
        <v>26</v>
      </c>
      <c r="H4" s="20">
        <v>11.22</v>
      </c>
      <c r="I4" s="20">
        <v>162</v>
      </c>
      <c r="J4" s="20">
        <v>25</v>
      </c>
      <c r="K4" s="410">
        <f>SUM(I4:J4)</f>
        <v>187</v>
      </c>
      <c r="L4" s="20">
        <v>12</v>
      </c>
      <c r="M4" s="411">
        <f>(I4+L4)</f>
        <v>174</v>
      </c>
      <c r="N4" s="20">
        <v>32</v>
      </c>
      <c r="O4" s="20">
        <v>310.33</v>
      </c>
      <c r="P4" s="413">
        <f>M4/O4</f>
        <v>0.56069345535397808</v>
      </c>
      <c r="Q4" s="20">
        <v>97</v>
      </c>
      <c r="R4" s="20">
        <v>80</v>
      </c>
      <c r="S4" s="24">
        <v>13363766</v>
      </c>
      <c r="T4" s="415">
        <f>SUM(U4:V4)</f>
        <v>18808698</v>
      </c>
      <c r="U4" s="24">
        <v>18808698</v>
      </c>
      <c r="V4" s="24">
        <v>0</v>
      </c>
      <c r="W4" s="335">
        <f>V4/T4</f>
        <v>0</v>
      </c>
    </row>
    <row r="5" spans="1:220">
      <c r="A5" s="11">
        <v>2019</v>
      </c>
      <c r="B5" s="20">
        <v>26</v>
      </c>
      <c r="C5" s="20">
        <v>19.21</v>
      </c>
      <c r="D5" s="410">
        <f>SUM(B5:C5)</f>
        <v>45.21</v>
      </c>
      <c r="E5" s="411">
        <f>ROUND((O5/B5), 0)</f>
        <v>13</v>
      </c>
      <c r="F5" s="411">
        <f>ROUND((O5/D5), 0)</f>
        <v>8</v>
      </c>
      <c r="G5" s="20">
        <v>26</v>
      </c>
      <c r="H5" s="20">
        <v>15.21</v>
      </c>
      <c r="I5" s="20">
        <v>197</v>
      </c>
      <c r="J5" s="20">
        <v>20</v>
      </c>
      <c r="K5" s="410">
        <f>SUM(I5:J5)</f>
        <v>217</v>
      </c>
      <c r="L5" s="20">
        <v>10.34</v>
      </c>
      <c r="M5" s="411">
        <f>(I5+L5)</f>
        <v>207.34</v>
      </c>
      <c r="N5" s="20">
        <v>38</v>
      </c>
      <c r="O5" s="20">
        <v>340.25</v>
      </c>
      <c r="P5" s="413">
        <f>M5/O5</f>
        <v>0.60937545922116088</v>
      </c>
      <c r="Q5" s="20">
        <v>99</v>
      </c>
      <c r="R5" s="20">
        <v>80</v>
      </c>
      <c r="S5" s="24">
        <v>12555899</v>
      </c>
      <c r="T5" s="415">
        <f>SUM(U5:V5)</f>
        <v>21649207</v>
      </c>
      <c r="U5" s="24">
        <v>5532929</v>
      </c>
      <c r="V5" s="24">
        <v>16116278</v>
      </c>
      <c r="W5" s="335">
        <f>V5/T5</f>
        <v>0.74442809845182778</v>
      </c>
    </row>
    <row r="6" spans="1:220" s="17" customFormat="1">
      <c r="A6" s="33">
        <v>2018</v>
      </c>
      <c r="B6" s="20">
        <v>26</v>
      </c>
      <c r="C6" s="20">
        <v>21.55</v>
      </c>
      <c r="D6" s="29">
        <f>SUM(B6:C6)</f>
        <v>47.55</v>
      </c>
      <c r="E6" s="172">
        <f>ROUND((O6/B6), 0)</f>
        <v>15</v>
      </c>
      <c r="F6" s="172">
        <f>ROUND((O6/D6), 0)</f>
        <v>8</v>
      </c>
      <c r="G6" s="20">
        <v>26</v>
      </c>
      <c r="H6" s="20">
        <v>16.55</v>
      </c>
      <c r="I6" s="20">
        <v>224</v>
      </c>
      <c r="J6" s="20">
        <v>19</v>
      </c>
      <c r="K6" s="29">
        <f>SUM(I6:J6)</f>
        <v>243</v>
      </c>
      <c r="L6" s="20">
        <v>10.89</v>
      </c>
      <c r="M6" s="172">
        <f>(I6+L6)</f>
        <v>234.89</v>
      </c>
      <c r="N6" s="20">
        <v>29</v>
      </c>
      <c r="O6" s="20">
        <v>378.51</v>
      </c>
      <c r="P6" s="183">
        <f>M6/O6</f>
        <v>0.62056484637129794</v>
      </c>
      <c r="Q6" s="20">
        <v>82</v>
      </c>
      <c r="R6" s="20">
        <v>63</v>
      </c>
      <c r="S6" s="24">
        <v>10759835</v>
      </c>
      <c r="T6" s="30">
        <f>SUM(U6:V6)</f>
        <v>19991919</v>
      </c>
      <c r="U6" s="24">
        <v>5412379</v>
      </c>
      <c r="V6" s="24">
        <v>14579540</v>
      </c>
      <c r="W6" s="185">
        <f>V6/T6</f>
        <v>0.72927166221511797</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24</v>
      </c>
      <c r="C7" s="20">
        <v>12.8</v>
      </c>
      <c r="D7" s="34">
        <f>SUM(B7:C7)</f>
        <v>36.799999999999997</v>
      </c>
      <c r="E7" s="34">
        <f>ROUND((O7/B7), 0)</f>
        <v>15</v>
      </c>
      <c r="F7" s="34">
        <f>ROUND((O7/D7), 0)</f>
        <v>9</v>
      </c>
      <c r="G7" s="20">
        <v>24</v>
      </c>
      <c r="H7" s="20">
        <v>9.8000000000000007</v>
      </c>
      <c r="I7" s="20">
        <v>197</v>
      </c>
      <c r="J7" s="20">
        <v>20</v>
      </c>
      <c r="K7" s="34">
        <f>SUM(I7:J7)</f>
        <v>217</v>
      </c>
      <c r="L7" s="20">
        <v>10.01</v>
      </c>
      <c r="M7" s="36">
        <f>(I7+L7)</f>
        <v>207.01</v>
      </c>
      <c r="N7" s="344">
        <v>29</v>
      </c>
      <c r="O7" s="344">
        <v>348</v>
      </c>
      <c r="P7" s="183">
        <f t="shared" ref="P7:P22" si="3">M7/O7</f>
        <v>0.59485632183908044</v>
      </c>
      <c r="Q7" s="20">
        <v>74</v>
      </c>
      <c r="R7" s="20">
        <v>46</v>
      </c>
      <c r="S7" s="300">
        <v>9734573</v>
      </c>
      <c r="T7" s="35">
        <f>SUM(U7:V7)</f>
        <v>12784757</v>
      </c>
      <c r="U7" s="341">
        <v>5707202</v>
      </c>
      <c r="V7" s="24">
        <v>7077555</v>
      </c>
      <c r="W7" s="185">
        <f t="shared" ref="W7:W22" si="4">V7/T7</f>
        <v>0.55359323607011068</v>
      </c>
    </row>
    <row r="8" spans="1:220" s="101" customFormat="1">
      <c r="A8" s="95">
        <v>2016</v>
      </c>
      <c r="B8" s="63">
        <v>24</v>
      </c>
      <c r="C8" s="63">
        <v>15.5</v>
      </c>
      <c r="D8" s="108">
        <f>B8+C8</f>
        <v>39.5</v>
      </c>
      <c r="E8" s="109">
        <f>ROUND((O8/B8), 0)</f>
        <v>12</v>
      </c>
      <c r="F8" s="109">
        <f>ROUND((O8/D8), 0)</f>
        <v>7</v>
      </c>
      <c r="G8" s="83">
        <v>24</v>
      </c>
      <c r="H8" s="83">
        <v>10.5</v>
      </c>
      <c r="I8" s="63">
        <v>160</v>
      </c>
      <c r="J8" s="63">
        <v>19</v>
      </c>
      <c r="K8" s="108">
        <f>I8+J8</f>
        <v>179</v>
      </c>
      <c r="L8" s="63">
        <v>10</v>
      </c>
      <c r="M8" s="109">
        <f>I8+L8</f>
        <v>170</v>
      </c>
      <c r="N8" s="63">
        <v>29</v>
      </c>
      <c r="O8" s="63">
        <v>288.33999999999997</v>
      </c>
      <c r="P8" s="183">
        <f t="shared" si="3"/>
        <v>0.58958174377471051</v>
      </c>
      <c r="Q8" s="63">
        <v>84</v>
      </c>
      <c r="R8" s="63">
        <v>49</v>
      </c>
      <c r="S8" s="69">
        <v>9781400</v>
      </c>
      <c r="T8" s="85">
        <f>SUM(U8:V8)</f>
        <v>13295874</v>
      </c>
      <c r="U8" s="69">
        <v>5451760</v>
      </c>
      <c r="V8" s="69">
        <v>7844114</v>
      </c>
      <c r="W8" s="185">
        <f t="shared" si="4"/>
        <v>0.58996603006316095</v>
      </c>
    </row>
    <row r="9" spans="1:220" s="105" customFormat="1">
      <c r="A9" s="267">
        <v>2015</v>
      </c>
      <c r="B9" s="91">
        <v>25</v>
      </c>
      <c r="C9" s="91">
        <v>14.5</v>
      </c>
      <c r="D9" s="81">
        <v>39.5</v>
      </c>
      <c r="E9" s="81">
        <v>9.9</v>
      </c>
      <c r="F9" s="81">
        <v>6.3</v>
      </c>
      <c r="G9" s="111"/>
      <c r="H9" s="111"/>
      <c r="I9" s="91">
        <v>154</v>
      </c>
      <c r="J9" s="91">
        <v>22</v>
      </c>
      <c r="K9" s="81">
        <v>176</v>
      </c>
      <c r="L9" s="91">
        <v>12</v>
      </c>
      <c r="M9" s="81">
        <v>165.68</v>
      </c>
      <c r="N9" s="91">
        <v>36</v>
      </c>
      <c r="O9" s="91">
        <v>248.27</v>
      </c>
      <c r="P9" s="183">
        <f t="shared" si="3"/>
        <v>0.66733797881338863</v>
      </c>
      <c r="Q9" s="91">
        <v>73</v>
      </c>
      <c r="R9" s="91">
        <v>29</v>
      </c>
      <c r="S9" s="102">
        <v>9174711</v>
      </c>
      <c r="T9" s="103">
        <v>10199545</v>
      </c>
      <c r="U9" s="102">
        <v>5088383</v>
      </c>
      <c r="V9" s="102">
        <v>5111162</v>
      </c>
      <c r="W9" s="185">
        <f t="shared" si="4"/>
        <v>0.50111666745918571</v>
      </c>
    </row>
    <row r="10" spans="1:220" s="105" customFormat="1">
      <c r="A10" s="90">
        <v>2014</v>
      </c>
      <c r="B10" s="91">
        <v>26</v>
      </c>
      <c r="C10" s="91">
        <v>12.5</v>
      </c>
      <c r="D10" s="81">
        <f>B10+C10</f>
        <v>38.5</v>
      </c>
      <c r="E10" s="82">
        <f t="shared" ref="E10:E22" si="5">ROUND((O10/B10), 0)</f>
        <v>10</v>
      </c>
      <c r="F10" s="82">
        <f t="shared" ref="F10:F22" si="6">ROUND((O10/D10), 0)</f>
        <v>7</v>
      </c>
      <c r="G10" s="111"/>
      <c r="H10" s="111"/>
      <c r="I10" s="91">
        <v>169</v>
      </c>
      <c r="J10" s="91">
        <v>24</v>
      </c>
      <c r="K10" s="81">
        <f>I10+J10</f>
        <v>193</v>
      </c>
      <c r="L10" s="91">
        <v>12.68</v>
      </c>
      <c r="M10" s="82">
        <f>I10+L10</f>
        <v>181.68</v>
      </c>
      <c r="N10" s="91">
        <v>33</v>
      </c>
      <c r="O10" s="91">
        <v>266</v>
      </c>
      <c r="P10" s="183">
        <f t="shared" si="3"/>
        <v>0.68300751879699251</v>
      </c>
      <c r="Q10" s="91">
        <v>136</v>
      </c>
      <c r="R10" s="91">
        <v>35</v>
      </c>
      <c r="S10" s="92">
        <v>10388951</v>
      </c>
      <c r="T10" s="85">
        <f t="shared" ref="T10:T20" si="7">SUM(U10:V10)</f>
        <v>11689128</v>
      </c>
      <c r="U10" s="92">
        <v>5504685</v>
      </c>
      <c r="V10" s="92">
        <v>6184443</v>
      </c>
      <c r="W10" s="185">
        <f t="shared" si="4"/>
        <v>0.52907650596349021</v>
      </c>
    </row>
    <row r="11" spans="1:220" s="71" customFormat="1">
      <c r="A11" s="90">
        <v>2013</v>
      </c>
      <c r="B11" s="361">
        <v>29</v>
      </c>
      <c r="C11" s="361">
        <v>12</v>
      </c>
      <c r="D11" s="108">
        <f>B11+C11</f>
        <v>41</v>
      </c>
      <c r="E11" s="109">
        <f t="shared" si="5"/>
        <v>10</v>
      </c>
      <c r="F11" s="109">
        <f t="shared" si="6"/>
        <v>7</v>
      </c>
      <c r="G11" s="113"/>
      <c r="H11" s="113"/>
      <c r="I11" s="361">
        <v>182</v>
      </c>
      <c r="J11" s="361">
        <v>20</v>
      </c>
      <c r="K11" s="108">
        <f>I11+J11</f>
        <v>202</v>
      </c>
      <c r="L11" s="361">
        <v>9.32</v>
      </c>
      <c r="M11" s="109">
        <f>I11+L11</f>
        <v>191.32</v>
      </c>
      <c r="N11" s="361">
        <v>18</v>
      </c>
      <c r="O11" s="361">
        <v>295.5</v>
      </c>
      <c r="P11" s="183">
        <f t="shared" si="3"/>
        <v>0.64744500846023689</v>
      </c>
      <c r="Q11" s="361">
        <v>130</v>
      </c>
      <c r="R11" s="361">
        <v>40</v>
      </c>
      <c r="S11" s="112">
        <v>9723046</v>
      </c>
      <c r="T11" s="110">
        <f t="shared" si="7"/>
        <v>12927173</v>
      </c>
      <c r="U11" s="112">
        <v>4871670</v>
      </c>
      <c r="V11" s="112">
        <v>8055503</v>
      </c>
      <c r="W11" s="185">
        <f t="shared" si="4"/>
        <v>0.62314498305236576</v>
      </c>
    </row>
    <row r="12" spans="1:220" s="71" customFormat="1">
      <c r="A12" s="90">
        <v>2012</v>
      </c>
      <c r="B12" s="361">
        <v>25</v>
      </c>
      <c r="C12" s="361">
        <v>9.75</v>
      </c>
      <c r="D12" s="108">
        <f>B12+C12</f>
        <v>34.75</v>
      </c>
      <c r="E12" s="109">
        <f t="shared" si="5"/>
        <v>13</v>
      </c>
      <c r="F12" s="109">
        <f t="shared" si="6"/>
        <v>9</v>
      </c>
      <c r="G12" s="113"/>
      <c r="H12" s="113"/>
      <c r="I12" s="361">
        <v>259</v>
      </c>
      <c r="J12" s="361">
        <v>32</v>
      </c>
      <c r="K12" s="108">
        <f>I12+J12</f>
        <v>291</v>
      </c>
      <c r="L12" s="361">
        <v>21.439999999999998</v>
      </c>
      <c r="M12" s="109">
        <f>I12+L12</f>
        <v>280.44</v>
      </c>
      <c r="N12" s="361">
        <v>39</v>
      </c>
      <c r="O12" s="361">
        <v>312.53000000000003</v>
      </c>
      <c r="P12" s="183">
        <f t="shared" si="3"/>
        <v>0.89732185710171819</v>
      </c>
      <c r="Q12" s="361">
        <v>133</v>
      </c>
      <c r="R12" s="361">
        <v>27</v>
      </c>
      <c r="S12" s="112">
        <v>9161864</v>
      </c>
      <c r="T12" s="110">
        <f t="shared" si="7"/>
        <v>14800481</v>
      </c>
      <c r="U12" s="112">
        <v>4207782</v>
      </c>
      <c r="V12" s="112">
        <v>10592699</v>
      </c>
      <c r="W12" s="185">
        <f t="shared" si="4"/>
        <v>0.71569964516693751</v>
      </c>
    </row>
    <row r="13" spans="1:220" s="71" customFormat="1">
      <c r="A13" s="90" t="s">
        <v>81</v>
      </c>
      <c r="B13" s="361">
        <v>26</v>
      </c>
      <c r="C13" s="361">
        <v>12</v>
      </c>
      <c r="D13" s="108">
        <f t="shared" ref="D13:D22" si="8">SUM(B13:C13)</f>
        <v>38</v>
      </c>
      <c r="E13" s="109">
        <f t="shared" si="5"/>
        <v>14</v>
      </c>
      <c r="F13" s="109">
        <f t="shared" si="6"/>
        <v>9</v>
      </c>
      <c r="G13" s="113"/>
      <c r="H13" s="113"/>
      <c r="I13" s="361">
        <v>249</v>
      </c>
      <c r="J13" s="361">
        <v>41</v>
      </c>
      <c r="K13" s="108">
        <f t="shared" ref="K13:K22" si="9">SUM(I13:J13)</f>
        <v>290</v>
      </c>
      <c r="L13" s="361">
        <v>27.47</v>
      </c>
      <c r="M13" s="109">
        <f t="shared" ref="M13:M22" si="10">(I13+L13)</f>
        <v>276.47000000000003</v>
      </c>
      <c r="N13" s="361">
        <v>34</v>
      </c>
      <c r="O13" s="361">
        <v>351.90999999999997</v>
      </c>
      <c r="P13" s="183">
        <f t="shared" si="3"/>
        <v>0.78562700690517473</v>
      </c>
      <c r="Q13" s="361">
        <v>114</v>
      </c>
      <c r="R13" s="361">
        <v>49</v>
      </c>
      <c r="S13" s="112">
        <v>9186016</v>
      </c>
      <c r="T13" s="110">
        <f t="shared" si="7"/>
        <v>14607734.880000003</v>
      </c>
      <c r="U13" s="112">
        <v>5282663.6900000004</v>
      </c>
      <c r="V13" s="112">
        <v>9325071.1900000013</v>
      </c>
      <c r="W13" s="185">
        <f t="shared" si="4"/>
        <v>0.63836530896842236</v>
      </c>
    </row>
    <row r="14" spans="1:220" s="71" customFormat="1">
      <c r="A14" s="90" t="s">
        <v>82</v>
      </c>
      <c r="B14" s="361">
        <v>27</v>
      </c>
      <c r="C14" s="361">
        <v>14.5</v>
      </c>
      <c r="D14" s="108">
        <f t="shared" si="8"/>
        <v>41.5</v>
      </c>
      <c r="E14" s="109">
        <f t="shared" si="5"/>
        <v>13</v>
      </c>
      <c r="F14" s="109">
        <f t="shared" si="6"/>
        <v>9</v>
      </c>
      <c r="G14" s="113"/>
      <c r="H14" s="113"/>
      <c r="I14" s="361">
        <v>280</v>
      </c>
      <c r="J14" s="361">
        <v>28</v>
      </c>
      <c r="K14" s="108">
        <f t="shared" si="9"/>
        <v>308</v>
      </c>
      <c r="L14" s="361">
        <v>16.05</v>
      </c>
      <c r="M14" s="109">
        <f t="shared" si="10"/>
        <v>296.05</v>
      </c>
      <c r="N14" s="361">
        <v>26</v>
      </c>
      <c r="O14" s="361">
        <v>357.38</v>
      </c>
      <c r="P14" s="183">
        <f t="shared" si="3"/>
        <v>0.82838994907381502</v>
      </c>
      <c r="Q14" s="361">
        <v>111</v>
      </c>
      <c r="R14" s="361">
        <v>30</v>
      </c>
      <c r="S14" s="112">
        <v>10417759.98999992</v>
      </c>
      <c r="T14" s="110">
        <f t="shared" si="7"/>
        <v>9906061</v>
      </c>
      <c r="U14" s="112">
        <v>4409213</v>
      </c>
      <c r="V14" s="112">
        <v>5496848</v>
      </c>
      <c r="W14" s="185">
        <f t="shared" si="4"/>
        <v>0.55489745116651312</v>
      </c>
    </row>
    <row r="15" spans="1:220" s="71" customFormat="1">
      <c r="A15" s="90" t="s">
        <v>83</v>
      </c>
      <c r="B15" s="361">
        <v>24</v>
      </c>
      <c r="C15" s="361">
        <v>11</v>
      </c>
      <c r="D15" s="108">
        <f t="shared" si="8"/>
        <v>35</v>
      </c>
      <c r="E15" s="109">
        <f t="shared" si="5"/>
        <v>16</v>
      </c>
      <c r="F15" s="109">
        <f t="shared" si="6"/>
        <v>11</v>
      </c>
      <c r="G15" s="113"/>
      <c r="H15" s="113"/>
      <c r="I15" s="361">
        <v>277</v>
      </c>
      <c r="J15" s="361">
        <v>32</v>
      </c>
      <c r="K15" s="108">
        <f t="shared" si="9"/>
        <v>309</v>
      </c>
      <c r="L15" s="361">
        <v>17.04</v>
      </c>
      <c r="M15" s="109">
        <f t="shared" si="10"/>
        <v>294.04000000000002</v>
      </c>
      <c r="N15" s="361">
        <v>29</v>
      </c>
      <c r="O15" s="361">
        <v>373.33</v>
      </c>
      <c r="P15" s="183">
        <f t="shared" si="3"/>
        <v>0.78761417512656373</v>
      </c>
      <c r="Q15" s="361">
        <v>107</v>
      </c>
      <c r="R15" s="361">
        <v>23</v>
      </c>
      <c r="S15" s="112">
        <v>8822492.0899999999</v>
      </c>
      <c r="T15" s="110">
        <f t="shared" si="7"/>
        <v>15247786.359999999</v>
      </c>
      <c r="U15" s="112">
        <v>4784904.3600000003</v>
      </c>
      <c r="V15" s="112">
        <v>10462882</v>
      </c>
      <c r="W15" s="185">
        <f t="shared" si="4"/>
        <v>0.68619022807452301</v>
      </c>
    </row>
    <row r="16" spans="1:220" s="71" customFormat="1">
      <c r="A16" s="90" t="s">
        <v>84</v>
      </c>
      <c r="B16" s="361">
        <v>23</v>
      </c>
      <c r="C16" s="361">
        <v>8</v>
      </c>
      <c r="D16" s="108">
        <f t="shared" si="8"/>
        <v>31</v>
      </c>
      <c r="E16" s="109">
        <f t="shared" si="5"/>
        <v>15</v>
      </c>
      <c r="F16" s="109">
        <f t="shared" si="6"/>
        <v>11</v>
      </c>
      <c r="G16" s="113"/>
      <c r="H16" s="113"/>
      <c r="I16" s="361">
        <v>242</v>
      </c>
      <c r="J16" s="361">
        <v>28</v>
      </c>
      <c r="K16" s="108">
        <f t="shared" si="9"/>
        <v>270</v>
      </c>
      <c r="L16" s="361">
        <v>15.01</v>
      </c>
      <c r="M16" s="109">
        <f t="shared" si="10"/>
        <v>257.01</v>
      </c>
      <c r="N16" s="361">
        <v>26</v>
      </c>
      <c r="O16" s="361">
        <v>343</v>
      </c>
      <c r="P16" s="183">
        <f t="shared" si="3"/>
        <v>0.74930029154518951</v>
      </c>
      <c r="Q16" s="361">
        <v>141</v>
      </c>
      <c r="R16" s="361">
        <v>20</v>
      </c>
      <c r="S16" s="112">
        <v>8154583.1600000001</v>
      </c>
      <c r="T16" s="110">
        <f t="shared" si="7"/>
        <v>8634276</v>
      </c>
      <c r="U16" s="112">
        <v>4161476</v>
      </c>
      <c r="V16" s="112">
        <v>4472800</v>
      </c>
      <c r="W16" s="185">
        <f t="shared" si="4"/>
        <v>0.51802837898626364</v>
      </c>
    </row>
    <row r="17" spans="1:23" s="71" customFormat="1">
      <c r="A17" s="90">
        <v>2007</v>
      </c>
      <c r="B17" s="361">
        <v>21</v>
      </c>
      <c r="C17" s="361">
        <v>1</v>
      </c>
      <c r="D17" s="194">
        <f t="shared" si="8"/>
        <v>22</v>
      </c>
      <c r="E17" s="109">
        <f t="shared" si="5"/>
        <v>15</v>
      </c>
      <c r="F17" s="109">
        <f t="shared" si="6"/>
        <v>14</v>
      </c>
      <c r="G17" s="113"/>
      <c r="H17" s="113"/>
      <c r="I17" s="361">
        <v>231</v>
      </c>
      <c r="J17" s="361">
        <v>43</v>
      </c>
      <c r="K17" s="194">
        <f t="shared" si="9"/>
        <v>274</v>
      </c>
      <c r="L17" s="361">
        <v>22.35</v>
      </c>
      <c r="M17" s="109">
        <f t="shared" si="10"/>
        <v>253.35</v>
      </c>
      <c r="N17" s="361">
        <v>22</v>
      </c>
      <c r="O17" s="361">
        <v>317</v>
      </c>
      <c r="P17" s="183">
        <f t="shared" si="3"/>
        <v>0.79921135646687691</v>
      </c>
      <c r="Q17" s="361">
        <v>98</v>
      </c>
      <c r="R17" s="361">
        <v>22</v>
      </c>
      <c r="S17" s="192">
        <v>9098359</v>
      </c>
      <c r="T17" s="110">
        <f t="shared" si="7"/>
        <v>9205647</v>
      </c>
      <c r="U17" s="192">
        <v>3573037</v>
      </c>
      <c r="V17" s="192">
        <v>5632610</v>
      </c>
      <c r="W17" s="185">
        <f t="shared" si="4"/>
        <v>0.61186465220749831</v>
      </c>
    </row>
    <row r="18" spans="1:23" s="71" customFormat="1">
      <c r="A18" s="90">
        <v>2006</v>
      </c>
      <c r="B18" s="361">
        <v>22</v>
      </c>
      <c r="C18" s="361">
        <v>4</v>
      </c>
      <c r="D18" s="194">
        <f t="shared" si="8"/>
        <v>26</v>
      </c>
      <c r="E18" s="109">
        <f t="shared" si="5"/>
        <v>16</v>
      </c>
      <c r="F18" s="109">
        <f t="shared" si="6"/>
        <v>13</v>
      </c>
      <c r="G18" s="113"/>
      <c r="H18" s="113"/>
      <c r="I18" s="361">
        <v>190</v>
      </c>
      <c r="J18" s="361">
        <v>13</v>
      </c>
      <c r="K18" s="194">
        <f t="shared" si="9"/>
        <v>203</v>
      </c>
      <c r="L18" s="361">
        <v>7</v>
      </c>
      <c r="M18" s="109">
        <f t="shared" si="10"/>
        <v>197</v>
      </c>
      <c r="N18" s="361">
        <v>13</v>
      </c>
      <c r="O18" s="361">
        <v>343</v>
      </c>
      <c r="P18" s="183">
        <f t="shared" si="3"/>
        <v>0.57434402332361512</v>
      </c>
      <c r="Q18" s="361">
        <v>83</v>
      </c>
      <c r="R18" s="361">
        <v>44</v>
      </c>
      <c r="S18" s="192">
        <v>6782606</v>
      </c>
      <c r="T18" s="110">
        <f t="shared" si="7"/>
        <v>12455294</v>
      </c>
      <c r="U18" s="192">
        <v>4069647</v>
      </c>
      <c r="V18" s="192">
        <v>8385647</v>
      </c>
      <c r="W18" s="185">
        <f t="shared" si="4"/>
        <v>0.67325965970775159</v>
      </c>
    </row>
    <row r="19" spans="1:23" s="71" customFormat="1">
      <c r="A19" s="90">
        <v>2005</v>
      </c>
      <c r="B19" s="361">
        <v>20</v>
      </c>
      <c r="C19" s="361">
        <v>10</v>
      </c>
      <c r="D19" s="194">
        <f t="shared" si="8"/>
        <v>30</v>
      </c>
      <c r="E19" s="109">
        <f t="shared" si="5"/>
        <v>15</v>
      </c>
      <c r="F19" s="109">
        <f t="shared" si="6"/>
        <v>10</v>
      </c>
      <c r="G19" s="113"/>
      <c r="H19" s="113"/>
      <c r="I19" s="361">
        <v>167</v>
      </c>
      <c r="J19" s="361">
        <v>18</v>
      </c>
      <c r="K19" s="194">
        <f t="shared" si="9"/>
        <v>185</v>
      </c>
      <c r="L19" s="361">
        <v>9</v>
      </c>
      <c r="M19" s="109">
        <f t="shared" si="10"/>
        <v>176</v>
      </c>
      <c r="N19" s="361">
        <v>14</v>
      </c>
      <c r="O19" s="361">
        <v>308</v>
      </c>
      <c r="P19" s="183">
        <f t="shared" si="3"/>
        <v>0.5714285714285714</v>
      </c>
      <c r="Q19" s="361">
        <v>73</v>
      </c>
      <c r="R19" s="361">
        <v>58</v>
      </c>
      <c r="S19" s="192">
        <v>5817822</v>
      </c>
      <c r="T19" s="110">
        <f t="shared" si="7"/>
        <v>13302434</v>
      </c>
      <c r="U19" s="192">
        <v>3925427</v>
      </c>
      <c r="V19" s="192">
        <v>9377007</v>
      </c>
      <c r="W19" s="185">
        <f t="shared" si="4"/>
        <v>0.70490911663233957</v>
      </c>
    </row>
    <row r="20" spans="1:23" s="71" customFormat="1">
      <c r="A20" s="90">
        <v>2004</v>
      </c>
      <c r="B20" s="195">
        <v>20</v>
      </c>
      <c r="C20" s="195">
        <v>6</v>
      </c>
      <c r="D20" s="194">
        <f t="shared" si="8"/>
        <v>26</v>
      </c>
      <c r="E20" s="109">
        <f t="shared" si="5"/>
        <v>16</v>
      </c>
      <c r="F20" s="109">
        <f t="shared" si="6"/>
        <v>12</v>
      </c>
      <c r="G20" s="113"/>
      <c r="H20" s="113"/>
      <c r="I20" s="195">
        <v>157</v>
      </c>
      <c r="J20" s="195">
        <v>15</v>
      </c>
      <c r="K20" s="194">
        <f t="shared" si="9"/>
        <v>172</v>
      </c>
      <c r="L20" s="195">
        <v>8</v>
      </c>
      <c r="M20" s="109">
        <f t="shared" si="10"/>
        <v>165</v>
      </c>
      <c r="N20" s="195">
        <v>11</v>
      </c>
      <c r="O20" s="195">
        <v>317</v>
      </c>
      <c r="P20" s="183">
        <f t="shared" si="3"/>
        <v>0.52050473186119872</v>
      </c>
      <c r="Q20" s="195">
        <v>73</v>
      </c>
      <c r="R20" s="361">
        <v>68</v>
      </c>
      <c r="S20" s="192">
        <v>4889439</v>
      </c>
      <c r="T20" s="110">
        <f t="shared" si="7"/>
        <v>10363309</v>
      </c>
      <c r="U20" s="192">
        <v>3354169</v>
      </c>
      <c r="V20" s="192">
        <v>7009140</v>
      </c>
      <c r="W20" s="185">
        <f t="shared" si="4"/>
        <v>0.67634189041357351</v>
      </c>
    </row>
    <row r="21" spans="1:23" s="71" customFormat="1">
      <c r="A21" s="90">
        <v>2003</v>
      </c>
      <c r="B21" s="195">
        <v>20</v>
      </c>
      <c r="C21" s="195">
        <v>6</v>
      </c>
      <c r="D21" s="194">
        <f t="shared" si="8"/>
        <v>26</v>
      </c>
      <c r="E21" s="109">
        <f t="shared" si="5"/>
        <v>16</v>
      </c>
      <c r="F21" s="109">
        <f t="shared" si="6"/>
        <v>12</v>
      </c>
      <c r="G21" s="113"/>
      <c r="H21" s="113"/>
      <c r="I21" s="195">
        <v>222</v>
      </c>
      <c r="J21" s="195">
        <v>39</v>
      </c>
      <c r="K21" s="194">
        <f t="shared" si="9"/>
        <v>261</v>
      </c>
      <c r="L21" s="195">
        <v>21</v>
      </c>
      <c r="M21" s="109">
        <f t="shared" si="10"/>
        <v>243</v>
      </c>
      <c r="N21" s="195">
        <v>21</v>
      </c>
      <c r="O21" s="195">
        <v>315</v>
      </c>
      <c r="P21" s="183">
        <f t="shared" si="3"/>
        <v>0.77142857142857146</v>
      </c>
      <c r="Q21" s="195">
        <v>101</v>
      </c>
      <c r="R21" s="361">
        <v>10</v>
      </c>
      <c r="S21" s="192">
        <v>5232460</v>
      </c>
      <c r="T21" s="110">
        <v>9506882</v>
      </c>
      <c r="U21" s="192">
        <v>2932214</v>
      </c>
      <c r="V21" s="192">
        <v>7574598</v>
      </c>
      <c r="W21" s="185">
        <f t="shared" si="4"/>
        <v>0.79674892356926275</v>
      </c>
    </row>
    <row r="22" spans="1:23" s="71" customFormat="1">
      <c r="A22" s="90">
        <v>2002</v>
      </c>
      <c r="B22" s="195">
        <v>19</v>
      </c>
      <c r="C22" s="195">
        <v>3</v>
      </c>
      <c r="D22" s="194">
        <f t="shared" si="8"/>
        <v>22</v>
      </c>
      <c r="E22" s="109">
        <f t="shared" si="5"/>
        <v>14</v>
      </c>
      <c r="F22" s="109">
        <f t="shared" si="6"/>
        <v>12</v>
      </c>
      <c r="G22" s="113"/>
      <c r="H22" s="113"/>
      <c r="I22" s="195">
        <v>202</v>
      </c>
      <c r="J22" s="195">
        <v>46</v>
      </c>
      <c r="K22" s="194">
        <f t="shared" si="9"/>
        <v>248</v>
      </c>
      <c r="L22" s="195">
        <f>ROUND(25.04, 0)</f>
        <v>25</v>
      </c>
      <c r="M22" s="109">
        <f t="shared" si="10"/>
        <v>227</v>
      </c>
      <c r="N22" s="195">
        <v>26</v>
      </c>
      <c r="O22" s="195">
        <f>ROUND(258.3, 0)</f>
        <v>258</v>
      </c>
      <c r="P22" s="183">
        <f t="shared" si="3"/>
        <v>0.87984496124031009</v>
      </c>
      <c r="Q22" s="195">
        <v>68</v>
      </c>
      <c r="R22" s="361">
        <v>4</v>
      </c>
      <c r="S22" s="192">
        <v>5058381</v>
      </c>
      <c r="T22" s="110">
        <f>SUM(U22:V22)</f>
        <v>8669982</v>
      </c>
      <c r="U22" s="192">
        <v>3662366</v>
      </c>
      <c r="V22" s="192">
        <v>5007616</v>
      </c>
      <c r="W22" s="185">
        <f t="shared" si="4"/>
        <v>0.57758089924523492</v>
      </c>
    </row>
    <row r="23" spans="1:23" s="66" customFormat="1">
      <c r="A23" s="681" t="s">
        <v>135</v>
      </c>
      <c r="B23" s="656"/>
      <c r="C23" s="656"/>
      <c r="D23" s="656"/>
      <c r="E23" s="656"/>
      <c r="F23" s="656"/>
      <c r="G23" s="656"/>
      <c r="H23" s="656"/>
      <c r="I23" s="656"/>
      <c r="J23" s="656"/>
      <c r="K23" s="656"/>
      <c r="L23" s="656"/>
      <c r="M23" s="656"/>
      <c r="N23" s="656"/>
      <c r="O23" s="656"/>
      <c r="P23" s="656"/>
      <c r="Q23" s="656"/>
      <c r="R23" s="656"/>
      <c r="S23" s="656"/>
      <c r="T23" s="656"/>
      <c r="U23" s="656"/>
      <c r="V23" s="656"/>
      <c r="W23" s="656"/>
    </row>
    <row r="24" spans="1:23" s="14" customFormat="1">
      <c r="A24" s="665" t="s">
        <v>181</v>
      </c>
      <c r="B24" s="656"/>
      <c r="C24" s="656"/>
      <c r="D24" s="656"/>
      <c r="E24" s="656"/>
      <c r="F24" s="656"/>
      <c r="G24" s="656"/>
      <c r="H24" s="656"/>
      <c r="I24" s="656"/>
      <c r="J24" s="656"/>
      <c r="K24" s="656"/>
      <c r="L24" s="656"/>
      <c r="M24" s="656"/>
      <c r="N24" s="656"/>
      <c r="O24" s="656"/>
      <c r="P24" s="656"/>
      <c r="Q24" s="656"/>
      <c r="R24" s="656"/>
      <c r="S24" s="656"/>
      <c r="T24" s="656"/>
      <c r="U24" s="656"/>
      <c r="V24" s="656"/>
      <c r="W24" s="656"/>
    </row>
    <row r="25" spans="1:23" s="14" customFormat="1">
      <c r="A25" s="656"/>
      <c r="B25" s="656"/>
      <c r="C25" s="656"/>
      <c r="D25" s="656"/>
      <c r="E25" s="656"/>
      <c r="F25" s="656"/>
      <c r="G25" s="656"/>
      <c r="H25" s="656"/>
      <c r="I25" s="656"/>
      <c r="J25" s="656"/>
      <c r="K25" s="656"/>
      <c r="L25" s="656"/>
      <c r="M25" s="656"/>
      <c r="N25" s="656"/>
      <c r="O25" s="656"/>
      <c r="P25" s="656"/>
      <c r="Q25" s="656"/>
      <c r="R25" s="656"/>
      <c r="S25" s="656"/>
      <c r="T25" s="656"/>
      <c r="U25" s="656"/>
      <c r="V25" s="656"/>
      <c r="W25" s="656"/>
    </row>
    <row r="26" spans="1:23" s="14" customFormat="1">
      <c r="A26" s="14" t="s">
        <v>220</v>
      </c>
    </row>
    <row r="27" spans="1:23" s="14" customFormat="1"/>
    <row r="28" spans="1:23" s="14" customFormat="1"/>
    <row r="29" spans="1:23" s="14" customFormat="1"/>
    <row r="30" spans="1:23" s="14" customFormat="1"/>
    <row r="31" spans="1:23" s="14" customFormat="1"/>
    <row r="32" spans="1:23" s="14" customFormat="1"/>
  </sheetData>
  <mergeCells count="2">
    <mergeCell ref="A23:W23"/>
    <mergeCell ref="A24:W25"/>
  </mergeCells>
  <printOptions headings="1" gridLines="1"/>
  <pageMargins left="0.5" right="0.5" top="0.5" bottom="0.5" header="0" footer="0"/>
  <pageSetup paperSize="5" scale="54" orientation="landscape"/>
  <legacy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L32"/>
  <sheetViews>
    <sheetView zoomScaleNormal="100" workbookViewId="0">
      <selection activeCell="E29" sqref="E29"/>
    </sheetView>
  </sheetViews>
  <sheetFormatPr defaultColWidth="8.85546875" defaultRowHeight="15"/>
  <cols>
    <col min="1" max="1" width="10.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10" max="11" width="11.85546875" bestFit="1" customWidth="1"/>
    <col min="12" max="12" width="12.28515625" bestFit="1" customWidth="1"/>
    <col min="13" max="13" width="13.140625" bestFit="1" customWidth="1"/>
    <col min="14" max="14" width="11.710937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69</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93" customFormat="1">
      <c r="A3" s="6">
        <v>2021</v>
      </c>
      <c r="B3" s="562">
        <v>15</v>
      </c>
      <c r="C3" s="562">
        <v>7</v>
      </c>
      <c r="D3" s="448">
        <v>22</v>
      </c>
      <c r="E3" s="448">
        <v>24.5</v>
      </c>
      <c r="F3" s="448">
        <v>16.7</v>
      </c>
      <c r="G3" s="562">
        <v>15</v>
      </c>
      <c r="H3" s="562">
        <v>4</v>
      </c>
      <c r="I3" s="562">
        <v>70</v>
      </c>
      <c r="J3" s="562">
        <v>320</v>
      </c>
      <c r="K3" s="448">
        <v>390</v>
      </c>
      <c r="L3" s="562">
        <v>211.5</v>
      </c>
      <c r="M3" s="448">
        <v>281.5</v>
      </c>
      <c r="N3" s="562">
        <v>71</v>
      </c>
      <c r="O3" s="562">
        <v>367.5</v>
      </c>
      <c r="P3" s="452">
        <v>0.76590000000000003</v>
      </c>
      <c r="Q3" s="562">
        <v>128</v>
      </c>
      <c r="R3" s="562">
        <v>3</v>
      </c>
      <c r="S3" s="565">
        <v>2011248</v>
      </c>
      <c r="T3" s="556">
        <v>2011248</v>
      </c>
      <c r="U3" s="565">
        <v>2011248</v>
      </c>
      <c r="V3" s="562">
        <v>0</v>
      </c>
      <c r="W3" s="448">
        <v>0</v>
      </c>
    </row>
    <row r="4" spans="1:220" s="441" customFormat="1">
      <c r="A4" s="417">
        <v>2020</v>
      </c>
      <c r="B4" s="560">
        <v>14</v>
      </c>
      <c r="C4" s="560">
        <v>8.3000000000000007</v>
      </c>
      <c r="D4" s="429">
        <v>22.3</v>
      </c>
      <c r="E4" s="429">
        <v>24</v>
      </c>
      <c r="F4" s="429">
        <v>15</v>
      </c>
      <c r="G4" s="560">
        <v>14</v>
      </c>
      <c r="H4" s="560">
        <v>6.3</v>
      </c>
      <c r="I4" s="560">
        <v>88</v>
      </c>
      <c r="J4" s="560">
        <v>316</v>
      </c>
      <c r="K4" s="429">
        <v>404</v>
      </c>
      <c r="L4" s="560">
        <v>209.5</v>
      </c>
      <c r="M4" s="429">
        <v>297.5</v>
      </c>
      <c r="N4" s="560">
        <v>67</v>
      </c>
      <c r="O4" s="560">
        <v>341.25</v>
      </c>
      <c r="P4" s="444">
        <v>0.89</v>
      </c>
      <c r="Q4" s="560">
        <v>135</v>
      </c>
      <c r="R4" s="560">
        <v>0</v>
      </c>
      <c r="S4" s="561">
        <v>1848023</v>
      </c>
      <c r="T4" s="431">
        <v>1848023</v>
      </c>
      <c r="U4" s="561">
        <v>1848023</v>
      </c>
      <c r="V4" s="560">
        <v>0</v>
      </c>
      <c r="W4" s="429">
        <v>0</v>
      </c>
    </row>
    <row r="5" spans="1:220" s="19" customFormat="1">
      <c r="A5" s="417">
        <v>2019</v>
      </c>
      <c r="B5" s="560">
        <v>13</v>
      </c>
      <c r="C5" s="560">
        <v>4.3</v>
      </c>
      <c r="D5" s="429">
        <v>17.3</v>
      </c>
      <c r="E5" s="429">
        <v>20</v>
      </c>
      <c r="F5" s="429">
        <v>15</v>
      </c>
      <c r="G5" s="560">
        <v>13</v>
      </c>
      <c r="H5" s="560">
        <v>4.3</v>
      </c>
      <c r="I5" s="560">
        <v>60</v>
      </c>
      <c r="J5" s="560">
        <v>308</v>
      </c>
      <c r="K5" s="429">
        <v>368</v>
      </c>
      <c r="L5" s="560">
        <v>198</v>
      </c>
      <c r="M5" s="429">
        <v>258</v>
      </c>
      <c r="N5" s="560">
        <v>58</v>
      </c>
      <c r="O5" s="560">
        <v>258</v>
      </c>
      <c r="P5" s="524">
        <v>1</v>
      </c>
      <c r="Q5" s="560">
        <v>117</v>
      </c>
      <c r="R5" s="560">
        <v>0</v>
      </c>
      <c r="S5" s="615">
        <v>1773371</v>
      </c>
      <c r="T5" s="609">
        <v>1804328</v>
      </c>
      <c r="U5" s="615">
        <v>1804328</v>
      </c>
      <c r="V5" s="560">
        <v>0</v>
      </c>
      <c r="W5" s="429">
        <v>0</v>
      </c>
    </row>
    <row r="6" spans="1:220" s="17" customFormat="1">
      <c r="A6" s="33">
        <v>2018</v>
      </c>
      <c r="B6" s="20">
        <v>12</v>
      </c>
      <c r="C6" s="20">
        <v>2</v>
      </c>
      <c r="D6" s="29">
        <f>SUM(B6:C6)</f>
        <v>14</v>
      </c>
      <c r="E6" s="172">
        <f>ROUND((O6/B6), 0)</f>
        <v>20</v>
      </c>
      <c r="F6" s="172">
        <f>ROUND((O6/D6), 0)</f>
        <v>17</v>
      </c>
      <c r="G6" s="20">
        <v>12</v>
      </c>
      <c r="H6" s="20">
        <v>2</v>
      </c>
      <c r="I6" s="20">
        <v>63</v>
      </c>
      <c r="J6" s="20">
        <v>267</v>
      </c>
      <c r="K6" s="29">
        <f>SUM(I6:J6)</f>
        <v>330</v>
      </c>
      <c r="L6" s="20">
        <v>177</v>
      </c>
      <c r="M6" s="172">
        <f>(I6+L6)</f>
        <v>240</v>
      </c>
      <c r="N6" s="20">
        <v>53</v>
      </c>
      <c r="O6" s="20">
        <v>240</v>
      </c>
      <c r="P6" s="183">
        <f>M6/O6</f>
        <v>1</v>
      </c>
      <c r="Q6" s="20">
        <v>107</v>
      </c>
      <c r="R6" s="20">
        <v>0</v>
      </c>
      <c r="S6" s="311">
        <v>1613048</v>
      </c>
      <c r="T6" s="30">
        <f>SUM(U6:V6)</f>
        <v>1640399</v>
      </c>
      <c r="U6" s="24">
        <v>1559830</v>
      </c>
      <c r="V6" s="24">
        <v>80569</v>
      </c>
      <c r="W6" s="185">
        <f>V6/T6</f>
        <v>4.9115489585155804E-2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11</v>
      </c>
      <c r="C7" s="20">
        <v>3.3</v>
      </c>
      <c r="D7" s="34">
        <f>SUM(B7:C7)</f>
        <v>14.3</v>
      </c>
      <c r="E7" s="34">
        <f>ROUND((O7/B7), 0)</f>
        <v>23</v>
      </c>
      <c r="F7" s="34">
        <f>ROUND((O7/D7), 0)</f>
        <v>18</v>
      </c>
      <c r="G7" s="20">
        <v>11</v>
      </c>
      <c r="H7" s="20">
        <v>3.3</v>
      </c>
      <c r="I7" s="20">
        <v>85</v>
      </c>
      <c r="J7" s="20">
        <v>257</v>
      </c>
      <c r="K7" s="34">
        <f>SUM(I7:J7)</f>
        <v>342</v>
      </c>
      <c r="L7" s="20">
        <v>169</v>
      </c>
      <c r="M7" s="36">
        <f>(I7+L7)</f>
        <v>254</v>
      </c>
      <c r="N7" s="344">
        <v>65</v>
      </c>
      <c r="O7" s="344">
        <v>254</v>
      </c>
      <c r="P7" s="183">
        <f t="shared" ref="P7:P22" si="0">M7/O7</f>
        <v>1</v>
      </c>
      <c r="Q7" s="20">
        <v>84</v>
      </c>
      <c r="R7" s="20">
        <v>0</v>
      </c>
      <c r="S7" s="300">
        <v>1420156</v>
      </c>
      <c r="T7" s="35">
        <f>SUM(U7:V7)</f>
        <v>1496479</v>
      </c>
      <c r="U7" s="341">
        <v>1420137</v>
      </c>
      <c r="V7" s="24">
        <v>76342</v>
      </c>
      <c r="W7" s="185">
        <f t="shared" ref="W7:W22" si="1">V7/T7</f>
        <v>5.1014414502308418E-2</v>
      </c>
    </row>
    <row r="8" spans="1:220" s="65" customFormat="1">
      <c r="A8" s="95">
        <v>2016</v>
      </c>
      <c r="B8" s="63">
        <v>9</v>
      </c>
      <c r="C8" s="63">
        <v>3.65</v>
      </c>
      <c r="D8" s="81">
        <f>SUM(B8:C8)</f>
        <v>12.65</v>
      </c>
      <c r="E8" s="82">
        <f>ROUND((O8/B8), 0)</f>
        <v>23</v>
      </c>
      <c r="F8" s="82">
        <f>ROUND((O8/D8), 0)</f>
        <v>16</v>
      </c>
      <c r="G8" s="63">
        <v>9</v>
      </c>
      <c r="H8" s="63">
        <v>3.65</v>
      </c>
      <c r="I8" s="63">
        <v>82</v>
      </c>
      <c r="J8" s="63">
        <v>225</v>
      </c>
      <c r="K8" s="81">
        <f>SUM(I8:J8)</f>
        <v>307</v>
      </c>
      <c r="L8" s="63">
        <v>124</v>
      </c>
      <c r="M8" s="82">
        <f>(I8+L8)</f>
        <v>206</v>
      </c>
      <c r="N8" s="63">
        <v>44</v>
      </c>
      <c r="O8" s="63">
        <v>206</v>
      </c>
      <c r="P8" s="183">
        <f t="shared" si="0"/>
        <v>1</v>
      </c>
      <c r="Q8" s="63">
        <v>76</v>
      </c>
      <c r="R8" s="63">
        <v>0</v>
      </c>
      <c r="S8" s="69">
        <v>1457468</v>
      </c>
      <c r="T8" s="85">
        <f>SUM(U8:V8)</f>
        <v>1562438</v>
      </c>
      <c r="U8" s="69">
        <v>1509953</v>
      </c>
      <c r="V8" s="69">
        <v>52485</v>
      </c>
      <c r="W8" s="185">
        <f t="shared" si="1"/>
        <v>3.3591732919962265E-2</v>
      </c>
    </row>
    <row r="9" spans="1:220" s="65" customFormat="1">
      <c r="A9" s="90">
        <v>2015</v>
      </c>
      <c r="B9" s="63">
        <v>9</v>
      </c>
      <c r="C9" s="63">
        <v>1.83</v>
      </c>
      <c r="D9" s="87">
        <v>10.83</v>
      </c>
      <c r="E9" s="87">
        <v>20.100000000000001</v>
      </c>
      <c r="F9" s="87">
        <v>16.71</v>
      </c>
      <c r="G9" s="111"/>
      <c r="H9" s="111"/>
      <c r="I9" s="63">
        <v>81</v>
      </c>
      <c r="J9" s="63">
        <v>183</v>
      </c>
      <c r="K9" s="87">
        <v>264</v>
      </c>
      <c r="L9" s="63">
        <v>100</v>
      </c>
      <c r="M9" s="87">
        <v>181</v>
      </c>
      <c r="N9" s="63">
        <v>39</v>
      </c>
      <c r="O9" s="63">
        <v>181</v>
      </c>
      <c r="P9" s="183">
        <f t="shared" si="0"/>
        <v>1</v>
      </c>
      <c r="Q9" s="63">
        <v>95</v>
      </c>
      <c r="R9" s="63"/>
      <c r="S9" s="102">
        <v>1494507</v>
      </c>
      <c r="T9" s="103">
        <v>1493007</v>
      </c>
      <c r="U9" s="102">
        <v>1465091</v>
      </c>
      <c r="V9" s="102">
        <v>27916</v>
      </c>
      <c r="W9" s="185">
        <f t="shared" si="1"/>
        <v>1.8697835977996083E-2</v>
      </c>
    </row>
    <row r="10" spans="1:220" s="105" customFormat="1">
      <c r="A10" s="90">
        <v>2014</v>
      </c>
      <c r="B10" s="31">
        <v>10</v>
      </c>
      <c r="C10" s="31">
        <v>3.33</v>
      </c>
      <c r="D10" s="81">
        <f t="shared" ref="D10:D22" si="2">SUM(B10:C10)</f>
        <v>13.33</v>
      </c>
      <c r="E10" s="82">
        <f t="shared" ref="E10:E22" si="3">ROUND((O10/B10), 0)</f>
        <v>19</v>
      </c>
      <c r="F10" s="82">
        <f t="shared" ref="F10:F22" si="4">ROUND((O10/D10), 0)</f>
        <v>14</v>
      </c>
      <c r="G10" s="111"/>
      <c r="H10" s="111"/>
      <c r="I10" s="31">
        <v>63</v>
      </c>
      <c r="J10" s="31">
        <v>189</v>
      </c>
      <c r="K10" s="81">
        <f t="shared" ref="K10:K22" si="5">SUM(I10:J10)</f>
        <v>252</v>
      </c>
      <c r="L10" s="31">
        <v>124</v>
      </c>
      <c r="M10" s="82">
        <f t="shared" ref="M10:M20" si="6">(I10+L10)</f>
        <v>187</v>
      </c>
      <c r="N10" s="31">
        <v>41</v>
      </c>
      <c r="O10" s="31">
        <v>187</v>
      </c>
      <c r="P10" s="183">
        <f t="shared" si="0"/>
        <v>1</v>
      </c>
      <c r="Q10" s="31">
        <v>42</v>
      </c>
      <c r="R10" s="31">
        <v>0</v>
      </c>
      <c r="S10" s="162">
        <v>1505314</v>
      </c>
      <c r="T10" s="85">
        <f t="shared" ref="T10:T22" si="7">SUM(U10:V10)</f>
        <v>1505289</v>
      </c>
      <c r="U10" s="162">
        <v>1479789</v>
      </c>
      <c r="V10" s="162">
        <v>25500</v>
      </c>
      <c r="W10" s="185">
        <f t="shared" si="1"/>
        <v>1.6940268612871016E-2</v>
      </c>
    </row>
    <row r="11" spans="1:220" s="71" customFormat="1">
      <c r="A11" s="90">
        <v>2013</v>
      </c>
      <c r="B11" s="360">
        <v>11</v>
      </c>
      <c r="C11" s="360">
        <v>2.33</v>
      </c>
      <c r="D11" s="108">
        <f t="shared" si="2"/>
        <v>13.33</v>
      </c>
      <c r="E11" s="109">
        <f t="shared" si="3"/>
        <v>14</v>
      </c>
      <c r="F11" s="109">
        <f t="shared" si="4"/>
        <v>11</v>
      </c>
      <c r="G11" s="113"/>
      <c r="H11" s="113"/>
      <c r="I11" s="360">
        <v>51</v>
      </c>
      <c r="J11" s="360">
        <v>153</v>
      </c>
      <c r="K11" s="108">
        <f t="shared" si="5"/>
        <v>204</v>
      </c>
      <c r="L11" s="360">
        <v>101</v>
      </c>
      <c r="M11" s="109">
        <f t="shared" si="6"/>
        <v>152</v>
      </c>
      <c r="N11" s="360">
        <v>41</v>
      </c>
      <c r="O11" s="360">
        <v>152</v>
      </c>
      <c r="P11" s="183">
        <f t="shared" si="0"/>
        <v>1</v>
      </c>
      <c r="Q11" s="360">
        <v>81</v>
      </c>
      <c r="R11" s="360">
        <v>0</v>
      </c>
      <c r="S11" s="268">
        <v>1174999</v>
      </c>
      <c r="T11" s="110">
        <f t="shared" si="7"/>
        <v>4064185</v>
      </c>
      <c r="U11" s="268">
        <v>3982001</v>
      </c>
      <c r="V11" s="268">
        <v>82184</v>
      </c>
      <c r="W11" s="185">
        <f t="shared" si="1"/>
        <v>2.0221520427834854E-2</v>
      </c>
    </row>
    <row r="12" spans="1:220" s="71" customFormat="1">
      <c r="A12" s="90">
        <v>2012</v>
      </c>
      <c r="B12" s="361">
        <v>11</v>
      </c>
      <c r="C12" s="361">
        <v>1.5</v>
      </c>
      <c r="D12" s="108">
        <f t="shared" si="2"/>
        <v>12.5</v>
      </c>
      <c r="E12" s="109">
        <f t="shared" si="3"/>
        <v>8</v>
      </c>
      <c r="F12" s="109">
        <f t="shared" si="4"/>
        <v>7</v>
      </c>
      <c r="G12" s="113"/>
      <c r="H12" s="113"/>
      <c r="I12" s="361">
        <v>43</v>
      </c>
      <c r="J12" s="361">
        <v>158</v>
      </c>
      <c r="K12" s="108">
        <f t="shared" si="5"/>
        <v>201</v>
      </c>
      <c r="L12" s="361">
        <v>43</v>
      </c>
      <c r="M12" s="109">
        <f t="shared" si="6"/>
        <v>86</v>
      </c>
      <c r="N12" s="361">
        <v>34</v>
      </c>
      <c r="O12" s="361">
        <v>86</v>
      </c>
      <c r="P12" s="183">
        <f t="shared" si="0"/>
        <v>1</v>
      </c>
      <c r="Q12" s="361">
        <v>69</v>
      </c>
      <c r="R12" s="361">
        <v>0</v>
      </c>
      <c r="S12" s="112">
        <v>989281</v>
      </c>
      <c r="T12" s="110">
        <f t="shared" si="7"/>
        <v>1032434</v>
      </c>
      <c r="U12" s="112">
        <v>1005134</v>
      </c>
      <c r="V12" s="112">
        <v>27300</v>
      </c>
      <c r="W12" s="185">
        <f t="shared" si="1"/>
        <v>2.6442368228864994E-2</v>
      </c>
    </row>
    <row r="13" spans="1:220" s="71" customFormat="1">
      <c r="A13" s="90" t="s">
        <v>81</v>
      </c>
      <c r="B13" s="361">
        <v>12</v>
      </c>
      <c r="C13" s="361">
        <v>0.75</v>
      </c>
      <c r="D13" s="108">
        <f t="shared" si="2"/>
        <v>12.75</v>
      </c>
      <c r="E13" s="109">
        <f t="shared" si="3"/>
        <v>12</v>
      </c>
      <c r="F13" s="109">
        <f t="shared" si="4"/>
        <v>11</v>
      </c>
      <c r="G13" s="113"/>
      <c r="H13" s="113"/>
      <c r="I13" s="361">
        <v>57</v>
      </c>
      <c r="J13" s="361">
        <v>127</v>
      </c>
      <c r="K13" s="108">
        <f t="shared" si="5"/>
        <v>184</v>
      </c>
      <c r="L13" s="361">
        <v>83.5</v>
      </c>
      <c r="M13" s="109">
        <f t="shared" si="6"/>
        <v>140.5</v>
      </c>
      <c r="N13" s="361">
        <v>32</v>
      </c>
      <c r="O13" s="361">
        <v>140.5</v>
      </c>
      <c r="P13" s="183">
        <f t="shared" si="0"/>
        <v>1</v>
      </c>
      <c r="Q13" s="361">
        <v>73</v>
      </c>
      <c r="R13" s="361">
        <v>0</v>
      </c>
      <c r="S13" s="112">
        <v>1338736</v>
      </c>
      <c r="T13" s="110">
        <f t="shared" si="7"/>
        <v>1246660</v>
      </c>
      <c r="U13" s="112">
        <v>1242160</v>
      </c>
      <c r="V13" s="112">
        <v>4500</v>
      </c>
      <c r="W13" s="185">
        <f t="shared" si="1"/>
        <v>3.6096449713634831E-3</v>
      </c>
    </row>
    <row r="14" spans="1:220" s="71" customFormat="1">
      <c r="A14" s="90" t="s">
        <v>82</v>
      </c>
      <c r="B14" s="361">
        <v>12</v>
      </c>
      <c r="C14" s="361">
        <v>1.75</v>
      </c>
      <c r="D14" s="108">
        <f t="shared" si="2"/>
        <v>13.75</v>
      </c>
      <c r="E14" s="109">
        <f t="shared" si="3"/>
        <v>11</v>
      </c>
      <c r="F14" s="109">
        <f t="shared" si="4"/>
        <v>10</v>
      </c>
      <c r="G14" s="113"/>
      <c r="H14" s="113"/>
      <c r="I14" s="361">
        <v>36</v>
      </c>
      <c r="J14" s="361">
        <v>177</v>
      </c>
      <c r="K14" s="108">
        <f t="shared" si="5"/>
        <v>213</v>
      </c>
      <c r="L14" s="361">
        <v>96.9</v>
      </c>
      <c r="M14" s="109">
        <f t="shared" si="6"/>
        <v>132.9</v>
      </c>
      <c r="N14" s="361">
        <v>25</v>
      </c>
      <c r="O14" s="361">
        <v>134.5</v>
      </c>
      <c r="P14" s="183">
        <f t="shared" si="0"/>
        <v>0.98810408921933091</v>
      </c>
      <c r="Q14" s="361">
        <v>67</v>
      </c>
      <c r="R14" s="361">
        <v>0</v>
      </c>
      <c r="S14" s="112">
        <v>1424414.86</v>
      </c>
      <c r="T14" s="110">
        <f t="shared" si="7"/>
        <v>1455423</v>
      </c>
      <c r="U14" s="112">
        <v>1411915</v>
      </c>
      <c r="V14" s="112">
        <v>43508</v>
      </c>
      <c r="W14" s="185">
        <f t="shared" si="1"/>
        <v>2.9893714748220963E-2</v>
      </c>
    </row>
    <row r="15" spans="1:220" s="71" customFormat="1">
      <c r="A15" s="90" t="s">
        <v>83</v>
      </c>
      <c r="B15" s="361">
        <v>11</v>
      </c>
      <c r="C15" s="361">
        <v>2.5</v>
      </c>
      <c r="D15" s="108">
        <f t="shared" si="2"/>
        <v>13.5</v>
      </c>
      <c r="E15" s="109">
        <f t="shared" si="3"/>
        <v>13</v>
      </c>
      <c r="F15" s="109">
        <f t="shared" si="4"/>
        <v>11</v>
      </c>
      <c r="G15" s="113"/>
      <c r="H15" s="113"/>
      <c r="I15" s="361">
        <v>41</v>
      </c>
      <c r="J15" s="361">
        <v>194</v>
      </c>
      <c r="K15" s="108">
        <f t="shared" si="5"/>
        <v>235</v>
      </c>
      <c r="L15" s="361">
        <v>102.8</v>
      </c>
      <c r="M15" s="109">
        <f t="shared" si="6"/>
        <v>143.80000000000001</v>
      </c>
      <c r="N15" s="361">
        <v>27</v>
      </c>
      <c r="O15" s="361">
        <v>145.9</v>
      </c>
      <c r="P15" s="183">
        <f t="shared" si="0"/>
        <v>0.98560657984921185</v>
      </c>
      <c r="Q15" s="361">
        <v>86</v>
      </c>
      <c r="R15" s="361">
        <v>0</v>
      </c>
      <c r="S15" s="112">
        <v>1230128.1599999999</v>
      </c>
      <c r="T15" s="110">
        <f t="shared" si="7"/>
        <v>798760</v>
      </c>
      <c r="U15" s="112">
        <v>739670</v>
      </c>
      <c r="V15" s="112">
        <v>59090</v>
      </c>
      <c r="W15" s="185">
        <f t="shared" si="1"/>
        <v>7.3977164605137966E-2</v>
      </c>
    </row>
    <row r="16" spans="1:220" s="71" customFormat="1">
      <c r="A16" s="90" t="s">
        <v>84</v>
      </c>
      <c r="B16" s="361">
        <v>10</v>
      </c>
      <c r="C16" s="361">
        <v>1.75</v>
      </c>
      <c r="D16" s="108">
        <f t="shared" si="2"/>
        <v>11.75</v>
      </c>
      <c r="E16" s="109">
        <f t="shared" si="3"/>
        <v>14</v>
      </c>
      <c r="F16" s="109">
        <f t="shared" si="4"/>
        <v>12</v>
      </c>
      <c r="G16" s="113"/>
      <c r="H16" s="113"/>
      <c r="I16" s="361">
        <v>32</v>
      </c>
      <c r="J16" s="361">
        <v>212</v>
      </c>
      <c r="K16" s="108">
        <f t="shared" si="5"/>
        <v>244</v>
      </c>
      <c r="L16" s="361">
        <v>108.3</v>
      </c>
      <c r="M16" s="109">
        <f t="shared" si="6"/>
        <v>140.30000000000001</v>
      </c>
      <c r="N16" s="361">
        <v>21</v>
      </c>
      <c r="O16" s="361">
        <v>144</v>
      </c>
      <c r="P16" s="183">
        <f t="shared" si="0"/>
        <v>0.97430555555555565</v>
      </c>
      <c r="Q16" s="361">
        <v>87</v>
      </c>
      <c r="R16" s="361">
        <v>0</v>
      </c>
      <c r="S16" s="112">
        <v>1368306</v>
      </c>
      <c r="T16" s="110">
        <f t="shared" si="7"/>
        <v>1368306</v>
      </c>
      <c r="U16" s="112">
        <v>1351006</v>
      </c>
      <c r="V16" s="112">
        <v>17300</v>
      </c>
      <c r="W16" s="185">
        <f t="shared" si="1"/>
        <v>1.2643370708014143E-2</v>
      </c>
    </row>
    <row r="17" spans="1:23" s="126" customFormat="1">
      <c r="A17" s="90">
        <v>2007</v>
      </c>
      <c r="B17" s="361">
        <v>9</v>
      </c>
      <c r="C17" s="361">
        <v>4.5</v>
      </c>
      <c r="D17" s="194">
        <f t="shared" si="2"/>
        <v>13.5</v>
      </c>
      <c r="E17" s="109">
        <f t="shared" si="3"/>
        <v>17</v>
      </c>
      <c r="F17" s="109">
        <f t="shared" si="4"/>
        <v>11</v>
      </c>
      <c r="G17" s="113"/>
      <c r="H17" s="113"/>
      <c r="I17" s="361">
        <v>32</v>
      </c>
      <c r="J17" s="361">
        <v>234</v>
      </c>
      <c r="K17" s="194">
        <f t="shared" si="5"/>
        <v>266</v>
      </c>
      <c r="L17" s="361">
        <v>122.9</v>
      </c>
      <c r="M17" s="109">
        <f t="shared" si="6"/>
        <v>154.9</v>
      </c>
      <c r="N17" s="361">
        <v>20</v>
      </c>
      <c r="O17" s="361">
        <v>155</v>
      </c>
      <c r="P17" s="183">
        <f t="shared" si="0"/>
        <v>0.99935483870967745</v>
      </c>
      <c r="Q17" s="361">
        <v>75</v>
      </c>
      <c r="R17" s="361">
        <v>0</v>
      </c>
      <c r="S17" s="192">
        <v>1268116</v>
      </c>
      <c r="T17" s="110">
        <f t="shared" si="7"/>
        <v>1314444</v>
      </c>
      <c r="U17" s="192">
        <v>1297144</v>
      </c>
      <c r="V17" s="192">
        <v>17300</v>
      </c>
      <c r="W17" s="185">
        <f t="shared" si="1"/>
        <v>1.3161458380881955E-2</v>
      </c>
    </row>
    <row r="18" spans="1:23" s="126" customFormat="1">
      <c r="A18" s="90">
        <v>2006</v>
      </c>
      <c r="B18" s="361">
        <v>9</v>
      </c>
      <c r="C18" s="361">
        <v>3</v>
      </c>
      <c r="D18" s="194">
        <f t="shared" si="2"/>
        <v>12</v>
      </c>
      <c r="E18" s="109">
        <f t="shared" si="3"/>
        <v>18</v>
      </c>
      <c r="F18" s="109">
        <f t="shared" si="4"/>
        <v>14</v>
      </c>
      <c r="G18" s="113"/>
      <c r="H18" s="113"/>
      <c r="I18" s="361">
        <v>33</v>
      </c>
      <c r="J18" s="361">
        <v>232</v>
      </c>
      <c r="K18" s="194">
        <f t="shared" si="5"/>
        <v>265</v>
      </c>
      <c r="L18" s="361">
        <v>116</v>
      </c>
      <c r="M18" s="109">
        <f t="shared" si="6"/>
        <v>149</v>
      </c>
      <c r="N18" s="361">
        <v>16</v>
      </c>
      <c r="O18" s="361">
        <v>162</v>
      </c>
      <c r="P18" s="183">
        <f t="shared" si="0"/>
        <v>0.91975308641975306</v>
      </c>
      <c r="Q18" s="361">
        <v>85</v>
      </c>
      <c r="R18" s="361">
        <v>0</v>
      </c>
      <c r="S18" s="192">
        <v>1146418</v>
      </c>
      <c r="T18" s="110">
        <f t="shared" si="7"/>
        <v>1146418</v>
      </c>
      <c r="U18" s="192">
        <v>1128868</v>
      </c>
      <c r="V18" s="192">
        <v>17550</v>
      </c>
      <c r="W18" s="185">
        <f t="shared" si="1"/>
        <v>1.5308552377928469E-2</v>
      </c>
    </row>
    <row r="19" spans="1:23" s="126" customFormat="1">
      <c r="A19" s="90">
        <v>2005</v>
      </c>
      <c r="B19" s="361">
        <v>8</v>
      </c>
      <c r="C19" s="361">
        <v>2</v>
      </c>
      <c r="D19" s="194">
        <f t="shared" si="2"/>
        <v>10</v>
      </c>
      <c r="E19" s="109">
        <f t="shared" si="3"/>
        <v>25</v>
      </c>
      <c r="F19" s="109">
        <f t="shared" si="4"/>
        <v>20</v>
      </c>
      <c r="G19" s="113"/>
      <c r="H19" s="113"/>
      <c r="I19" s="361">
        <v>58</v>
      </c>
      <c r="J19" s="361">
        <v>250</v>
      </c>
      <c r="K19" s="194">
        <f t="shared" si="5"/>
        <v>308</v>
      </c>
      <c r="L19" s="361">
        <v>141</v>
      </c>
      <c r="M19" s="109">
        <f t="shared" si="6"/>
        <v>199</v>
      </c>
      <c r="N19" s="361">
        <v>4</v>
      </c>
      <c r="O19" s="361">
        <v>199</v>
      </c>
      <c r="P19" s="183">
        <f t="shared" si="0"/>
        <v>1</v>
      </c>
      <c r="Q19" s="361">
        <v>104</v>
      </c>
      <c r="R19" s="361">
        <v>0</v>
      </c>
      <c r="S19" s="192">
        <v>1016814</v>
      </c>
      <c r="T19" s="110">
        <f t="shared" si="7"/>
        <v>1016814</v>
      </c>
      <c r="U19" s="192">
        <v>996389</v>
      </c>
      <c r="V19" s="192">
        <v>20425</v>
      </c>
      <c r="W19" s="185">
        <f t="shared" si="1"/>
        <v>2.008725292924763E-2</v>
      </c>
    </row>
    <row r="20" spans="1:23" s="71" customFormat="1">
      <c r="A20" s="90">
        <v>2004</v>
      </c>
      <c r="B20" s="195">
        <v>8</v>
      </c>
      <c r="C20" s="195">
        <v>3</v>
      </c>
      <c r="D20" s="194">
        <f t="shared" si="2"/>
        <v>11</v>
      </c>
      <c r="E20" s="109">
        <f t="shared" si="3"/>
        <v>18</v>
      </c>
      <c r="F20" s="109">
        <f t="shared" si="4"/>
        <v>13</v>
      </c>
      <c r="G20" s="113"/>
      <c r="H20" s="113"/>
      <c r="I20" s="195">
        <v>40</v>
      </c>
      <c r="J20" s="195">
        <v>202</v>
      </c>
      <c r="K20" s="194">
        <f t="shared" si="5"/>
        <v>242</v>
      </c>
      <c r="L20" s="195">
        <v>100</v>
      </c>
      <c r="M20" s="109">
        <f t="shared" si="6"/>
        <v>140</v>
      </c>
      <c r="N20" s="195">
        <v>9</v>
      </c>
      <c r="O20" s="195">
        <v>140</v>
      </c>
      <c r="P20" s="183">
        <f t="shared" si="0"/>
        <v>1</v>
      </c>
      <c r="Q20" s="195">
        <v>87</v>
      </c>
      <c r="R20" s="361">
        <v>1</v>
      </c>
      <c r="S20" s="192">
        <v>949279</v>
      </c>
      <c r="T20" s="110">
        <f t="shared" si="7"/>
        <v>949279</v>
      </c>
      <c r="U20" s="192">
        <v>932054</v>
      </c>
      <c r="V20" s="192">
        <v>17225</v>
      </c>
      <c r="W20" s="185">
        <f t="shared" si="1"/>
        <v>1.8145350313237732E-2</v>
      </c>
    </row>
    <row r="21" spans="1:23" s="71" customFormat="1">
      <c r="A21" s="90">
        <v>2003</v>
      </c>
      <c r="B21" s="195">
        <v>8</v>
      </c>
      <c r="C21" s="195">
        <v>2</v>
      </c>
      <c r="D21" s="194">
        <f t="shared" si="2"/>
        <v>10</v>
      </c>
      <c r="E21" s="109">
        <f t="shared" si="3"/>
        <v>24</v>
      </c>
      <c r="F21" s="109">
        <f t="shared" si="4"/>
        <v>19</v>
      </c>
      <c r="G21" s="113"/>
      <c r="H21" s="113"/>
      <c r="I21" s="195">
        <v>46</v>
      </c>
      <c r="J21" s="195">
        <v>237</v>
      </c>
      <c r="K21" s="194">
        <f t="shared" si="5"/>
        <v>283</v>
      </c>
      <c r="L21" s="195">
        <v>146</v>
      </c>
      <c r="M21" s="109">
        <v>191</v>
      </c>
      <c r="N21" s="195">
        <v>12</v>
      </c>
      <c r="O21" s="195">
        <v>192</v>
      </c>
      <c r="P21" s="183">
        <f t="shared" si="0"/>
        <v>0.99479166666666663</v>
      </c>
      <c r="Q21" s="195">
        <v>82</v>
      </c>
      <c r="R21" s="361">
        <v>0</v>
      </c>
      <c r="S21" s="192">
        <v>713384</v>
      </c>
      <c r="T21" s="110">
        <f t="shared" si="7"/>
        <v>713384</v>
      </c>
      <c r="U21" s="192">
        <v>692384</v>
      </c>
      <c r="V21" s="192">
        <v>21000</v>
      </c>
      <c r="W21" s="185">
        <f t="shared" si="1"/>
        <v>2.9437161472643063E-2</v>
      </c>
    </row>
    <row r="22" spans="1:23" s="71" customFormat="1">
      <c r="A22" s="90">
        <v>2002</v>
      </c>
      <c r="B22" s="195">
        <v>8</v>
      </c>
      <c r="C22" s="195">
        <v>3</v>
      </c>
      <c r="D22" s="194">
        <f t="shared" si="2"/>
        <v>11</v>
      </c>
      <c r="E22" s="109">
        <f t="shared" si="3"/>
        <v>20</v>
      </c>
      <c r="F22" s="109">
        <f t="shared" si="4"/>
        <v>15</v>
      </c>
      <c r="G22" s="113"/>
      <c r="H22" s="113"/>
      <c r="I22" s="195">
        <v>44</v>
      </c>
      <c r="J22" s="195">
        <v>242</v>
      </c>
      <c r="K22" s="194">
        <f t="shared" si="5"/>
        <v>286</v>
      </c>
      <c r="L22" s="195">
        <f>ROUND(115.5, 0)</f>
        <v>116</v>
      </c>
      <c r="M22" s="109">
        <f>(I22+L22)</f>
        <v>160</v>
      </c>
      <c r="N22" s="195">
        <v>15</v>
      </c>
      <c r="O22" s="195">
        <f>ROUND(159.5, 0)</f>
        <v>160</v>
      </c>
      <c r="P22" s="183">
        <f t="shared" si="0"/>
        <v>1</v>
      </c>
      <c r="Q22" s="195">
        <v>66</v>
      </c>
      <c r="R22" s="361">
        <v>0</v>
      </c>
      <c r="S22" s="192">
        <v>533966</v>
      </c>
      <c r="T22" s="110">
        <f t="shared" si="7"/>
        <v>535016</v>
      </c>
      <c r="U22" s="192">
        <v>517966</v>
      </c>
      <c r="V22" s="192">
        <v>17050</v>
      </c>
      <c r="W22" s="185">
        <f t="shared" si="1"/>
        <v>3.1868205810667342E-2</v>
      </c>
    </row>
    <row r="23" spans="1:23" s="13" customFormat="1" ht="46.9" customHeight="1">
      <c r="A23" s="662" t="s">
        <v>160</v>
      </c>
      <c r="B23" s="695"/>
      <c r="C23" s="695"/>
      <c r="D23" s="695"/>
      <c r="E23" s="695"/>
      <c r="F23" s="695"/>
      <c r="G23" s="695"/>
      <c r="H23" s="695"/>
      <c r="I23" s="695"/>
      <c r="J23" s="695"/>
      <c r="K23" s="695"/>
      <c r="L23" s="695"/>
      <c r="M23" s="695"/>
      <c r="N23" s="695"/>
      <c r="O23" s="695"/>
      <c r="P23" s="695"/>
      <c r="Q23" s="695"/>
      <c r="R23" s="695"/>
      <c r="S23" s="695"/>
      <c r="T23" s="695"/>
      <c r="U23" s="695"/>
      <c r="V23" s="695"/>
      <c r="W23" s="696"/>
    </row>
    <row r="24" spans="1:23" s="13" customFormat="1"/>
    <row r="25" spans="1:23" s="13" customFormat="1"/>
    <row r="26" spans="1:23" s="13" customFormat="1"/>
    <row r="27" spans="1:23" s="13" customFormat="1"/>
    <row r="28" spans="1:23" s="13" customFormat="1"/>
    <row r="29" spans="1:23" s="14" customFormat="1"/>
    <row r="30" spans="1:23" s="14" customFormat="1"/>
    <row r="31" spans="1:23" s="14" customFormat="1"/>
    <row r="32" spans="1:23" s="14" customFormat="1"/>
  </sheetData>
  <mergeCells count="1">
    <mergeCell ref="A23:W23"/>
  </mergeCells>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HL33"/>
  <sheetViews>
    <sheetView workbookViewId="0">
      <selection activeCell="I29" sqref="I29"/>
    </sheetView>
  </sheetViews>
  <sheetFormatPr defaultColWidth="8.85546875" defaultRowHeight="15"/>
  <cols>
    <col min="1" max="1" width="1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2" width="12.7109375" bestFit="1" customWidth="1"/>
    <col min="23" max="23" width="12.85546875" bestFit="1" customWidth="1"/>
  </cols>
  <sheetData>
    <row r="1" spans="1:220" s="8" customFormat="1" ht="18.75">
      <c r="A1" s="1" t="s">
        <v>13</v>
      </c>
      <c r="B1" s="2"/>
      <c r="C1" s="1"/>
      <c r="D1" s="1"/>
      <c r="E1" s="1"/>
      <c r="F1" s="1"/>
      <c r="G1" s="1"/>
      <c r="H1" s="1"/>
      <c r="I1" s="1"/>
      <c r="J1" s="1"/>
      <c r="K1" s="1"/>
      <c r="L1" s="1"/>
      <c r="M1" s="1"/>
      <c r="N1" s="1"/>
      <c r="O1" s="1"/>
      <c r="P1" s="1"/>
      <c r="Q1" s="1"/>
      <c r="R1" s="1"/>
      <c r="S1" s="1"/>
      <c r="T1" s="1"/>
      <c r="U1" s="1"/>
      <c r="V1" s="1"/>
      <c r="W1" s="1"/>
    </row>
    <row r="2" spans="1:220" s="7" customFormat="1" ht="60">
      <c r="A2" s="27" t="s">
        <v>42</v>
      </c>
      <c r="B2" s="27" t="s">
        <v>25</v>
      </c>
      <c r="C2" s="27" t="s">
        <v>28</v>
      </c>
      <c r="D2" s="27" t="s">
        <v>29</v>
      </c>
      <c r="E2" s="6" t="s">
        <v>108</v>
      </c>
      <c r="F2" s="27" t="s">
        <v>30</v>
      </c>
      <c r="G2" s="6" t="s">
        <v>109</v>
      </c>
      <c r="H2" s="6" t="s">
        <v>110</v>
      </c>
      <c r="I2" s="27" t="s">
        <v>26</v>
      </c>
      <c r="J2" s="27" t="s">
        <v>31</v>
      </c>
      <c r="K2" s="27" t="s">
        <v>32</v>
      </c>
      <c r="L2" s="27" t="s">
        <v>33</v>
      </c>
      <c r="M2" s="27" t="s">
        <v>34</v>
      </c>
      <c r="N2" s="27" t="s">
        <v>35</v>
      </c>
      <c r="O2" s="27" t="s">
        <v>43</v>
      </c>
      <c r="P2" s="27" t="s">
        <v>36</v>
      </c>
      <c r="Q2" s="27" t="s">
        <v>44</v>
      </c>
      <c r="R2" s="27" t="s">
        <v>37</v>
      </c>
      <c r="S2" s="27" t="s">
        <v>38</v>
      </c>
      <c r="T2" s="27" t="s">
        <v>39</v>
      </c>
      <c r="U2" s="27" t="s">
        <v>27</v>
      </c>
      <c r="V2" s="27" t="s">
        <v>40</v>
      </c>
      <c r="W2" s="27" t="s">
        <v>41</v>
      </c>
    </row>
    <row r="3" spans="1:220" s="476" customFormat="1">
      <c r="A3" s="482">
        <v>2021</v>
      </c>
      <c r="B3" s="487">
        <v>24</v>
      </c>
      <c r="C3" s="487">
        <v>21</v>
      </c>
      <c r="D3" s="483">
        <f>SUM(B3:C3)</f>
        <v>45</v>
      </c>
      <c r="E3" s="484">
        <f>ROUND((O3/B3),0)</f>
        <v>46</v>
      </c>
      <c r="F3" s="483">
        <f>ROUND((O3/D3),0)</f>
        <v>25</v>
      </c>
      <c r="G3" s="488">
        <v>24</v>
      </c>
      <c r="H3" s="488">
        <v>21</v>
      </c>
      <c r="I3" s="487">
        <v>385</v>
      </c>
      <c r="J3" s="487">
        <v>637</v>
      </c>
      <c r="K3" s="483">
        <f>SUM(I3:J3)</f>
        <v>1022</v>
      </c>
      <c r="L3" s="487">
        <v>274</v>
      </c>
      <c r="M3" s="485">
        <f>(I3+L3)</f>
        <v>659</v>
      </c>
      <c r="N3" s="487">
        <v>278</v>
      </c>
      <c r="O3" s="487">
        <v>1108</v>
      </c>
      <c r="P3" s="486">
        <f>M3/O3</f>
        <v>0.59476534296028882</v>
      </c>
      <c r="Q3" s="487">
        <v>347</v>
      </c>
      <c r="R3" s="487">
        <v>197</v>
      </c>
      <c r="S3" s="527">
        <v>4384630.05</v>
      </c>
      <c r="T3" s="489">
        <f>SUM(U3:V3)</f>
        <v>5956367.5200000005</v>
      </c>
      <c r="U3" s="528">
        <v>5268685.87</v>
      </c>
      <c r="V3" s="528">
        <v>687681.65</v>
      </c>
      <c r="W3" s="486">
        <f>V3/T3</f>
        <v>0.11545319319046989</v>
      </c>
    </row>
    <row r="4" spans="1:220" s="476" customFormat="1">
      <c r="A4" s="482">
        <v>2020</v>
      </c>
      <c r="B4" s="487">
        <v>21</v>
      </c>
      <c r="C4" s="487">
        <v>19.5</v>
      </c>
      <c r="D4" s="483">
        <f>SUM(B4:C4)</f>
        <v>40.5</v>
      </c>
      <c r="E4" s="484">
        <f>ROUND((O4/B4),0)</f>
        <v>41</v>
      </c>
      <c r="F4" s="483">
        <f>ROUND((O4/D4),0)</f>
        <v>21</v>
      </c>
      <c r="G4" s="488">
        <v>21</v>
      </c>
      <c r="H4" s="488">
        <v>19.5</v>
      </c>
      <c r="I4" s="487">
        <v>24</v>
      </c>
      <c r="J4" s="487">
        <v>854</v>
      </c>
      <c r="K4" s="483">
        <f>SUM(I4:J4)</f>
        <v>878</v>
      </c>
      <c r="L4" s="487">
        <v>442.41699999999997</v>
      </c>
      <c r="M4" s="485">
        <f>(I4+L4)</f>
        <v>466.41699999999997</v>
      </c>
      <c r="N4" s="487">
        <v>265</v>
      </c>
      <c r="O4" s="487">
        <v>854.08900000000006</v>
      </c>
      <c r="P4" s="486">
        <f>M4/O4</f>
        <v>0.54609882576640134</v>
      </c>
      <c r="Q4" s="487">
        <v>305</v>
      </c>
      <c r="R4" s="487">
        <v>82</v>
      </c>
      <c r="S4" s="527">
        <v>4988768.37</v>
      </c>
      <c r="T4" s="489">
        <f>SUM(U4:V4)</f>
        <v>6022276.7699999996</v>
      </c>
      <c r="U4" s="528">
        <v>5471976.5499999998</v>
      </c>
      <c r="V4" s="528">
        <v>550300.22</v>
      </c>
      <c r="W4" s="486">
        <f>V4/T4</f>
        <v>9.137743763975166E-2</v>
      </c>
    </row>
    <row r="5" spans="1:220" s="476" customFormat="1">
      <c r="A5" s="482">
        <v>2019</v>
      </c>
      <c r="B5" s="487">
        <v>21</v>
      </c>
      <c r="C5" s="487">
        <v>15.25</v>
      </c>
      <c r="D5" s="483">
        <f>SUM(B5:C5)</f>
        <v>36.25</v>
      </c>
      <c r="E5" s="484">
        <f>ROUND((O5/B5),0)</f>
        <v>32</v>
      </c>
      <c r="F5" s="483">
        <f>ROUND((O5/D5),0)</f>
        <v>18</v>
      </c>
      <c r="G5" s="488">
        <v>21</v>
      </c>
      <c r="H5" s="488">
        <v>15.25</v>
      </c>
      <c r="I5" s="487">
        <v>170</v>
      </c>
      <c r="J5" s="487">
        <v>529</v>
      </c>
      <c r="K5" s="483">
        <f>SUM(I5:J5)</f>
        <v>699</v>
      </c>
      <c r="L5" s="487">
        <v>221</v>
      </c>
      <c r="M5" s="485">
        <f>(I5+L5)</f>
        <v>391</v>
      </c>
      <c r="N5" s="487">
        <v>212</v>
      </c>
      <c r="O5" s="487">
        <v>670.1</v>
      </c>
      <c r="P5" s="486">
        <f>M5/O5</f>
        <v>0.58349500074615723</v>
      </c>
      <c r="Q5" s="487">
        <v>338</v>
      </c>
      <c r="R5" s="487">
        <v>76</v>
      </c>
      <c r="S5" s="487">
        <v>5171916</v>
      </c>
      <c r="T5" s="489">
        <f>SUM(U5:V5)</f>
        <v>6757458</v>
      </c>
      <c r="U5" s="528">
        <v>3125425</v>
      </c>
      <c r="V5" s="528">
        <v>3632033</v>
      </c>
      <c r="W5" s="486">
        <f>V5/T5</f>
        <v>0.53748510164621077</v>
      </c>
    </row>
    <row r="6" spans="1:220" s="17" customFormat="1">
      <c r="A6" s="33">
        <v>2018</v>
      </c>
      <c r="B6" s="20">
        <v>22</v>
      </c>
      <c r="C6" s="20">
        <v>13.5</v>
      </c>
      <c r="D6" s="29">
        <f>SUM(B6:C6)</f>
        <v>35.5</v>
      </c>
      <c r="E6" s="172">
        <f>ROUND((O6/B6), 0)</f>
        <v>26</v>
      </c>
      <c r="F6" s="172">
        <f>ROUND((O6/D6), 0)</f>
        <v>16</v>
      </c>
      <c r="G6" s="20">
        <v>22</v>
      </c>
      <c r="H6" s="20">
        <v>13.5</v>
      </c>
      <c r="I6" s="20">
        <v>166</v>
      </c>
      <c r="J6" s="20">
        <v>511</v>
      </c>
      <c r="K6" s="29">
        <f>SUM(I6:J6)</f>
        <v>677</v>
      </c>
      <c r="L6" s="20">
        <v>216.14</v>
      </c>
      <c r="M6" s="172">
        <f>(I6+L6)</f>
        <v>382.14</v>
      </c>
      <c r="N6" s="20">
        <v>199</v>
      </c>
      <c r="O6" s="20">
        <v>577.69000000000005</v>
      </c>
      <c r="P6" s="183">
        <f>M6/O6</f>
        <v>0.66149665045266481</v>
      </c>
      <c r="Q6" s="20">
        <v>439</v>
      </c>
      <c r="R6" s="20">
        <v>39</v>
      </c>
      <c r="S6" s="24">
        <v>4892502</v>
      </c>
      <c r="T6" s="30">
        <f>SUM(U6:V6)</f>
        <v>12798182.859999999</v>
      </c>
      <c r="U6" s="24">
        <v>2583368</v>
      </c>
      <c r="V6" s="24">
        <v>10214814.859999999</v>
      </c>
      <c r="W6" s="185">
        <f>V6/T6</f>
        <v>0.79814571894622854</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11">
        <v>2017</v>
      </c>
      <c r="B7" s="20">
        <v>21</v>
      </c>
      <c r="C7" s="20">
        <v>14</v>
      </c>
      <c r="D7" s="34">
        <f t="shared" ref="D7:D22" si="0">SUM(B7:C7)</f>
        <v>35</v>
      </c>
      <c r="E7" s="34">
        <f t="shared" ref="E7:E22" si="1">ROUND((O7/B7), 0)</f>
        <v>29</v>
      </c>
      <c r="F7" s="34">
        <f t="shared" ref="F7:F22" si="2">ROUND((O7/D7), 0)</f>
        <v>18</v>
      </c>
      <c r="G7" s="20">
        <v>21</v>
      </c>
      <c r="H7" s="20">
        <v>14</v>
      </c>
      <c r="I7" s="20">
        <v>230</v>
      </c>
      <c r="J7" s="20">
        <v>543</v>
      </c>
      <c r="K7" s="34">
        <f t="shared" ref="K7:K22" si="3">SUM(I7:J7)</f>
        <v>773</v>
      </c>
      <c r="L7" s="20">
        <v>235</v>
      </c>
      <c r="M7" s="36">
        <f t="shared" ref="M7:M22" si="4">(I7+L7)</f>
        <v>465</v>
      </c>
      <c r="N7" s="344">
        <v>230</v>
      </c>
      <c r="O7" s="349">
        <v>614.65</v>
      </c>
      <c r="P7" s="183">
        <f t="shared" ref="P7:P22" si="5">M7/O7</f>
        <v>0.75652810542585214</v>
      </c>
      <c r="Q7" s="20">
        <v>312</v>
      </c>
      <c r="R7" s="20">
        <v>32</v>
      </c>
      <c r="S7" s="300">
        <v>5034665.1100000003</v>
      </c>
      <c r="T7" s="35">
        <f t="shared" ref="T7:T22" si="6">SUM(U7:V7)</f>
        <v>10657924.550000001</v>
      </c>
      <c r="U7" s="341">
        <v>2125085.9900000002</v>
      </c>
      <c r="V7" s="24">
        <v>8532838.5600000005</v>
      </c>
      <c r="W7" s="185">
        <f t="shared" ref="W7:W22" si="7">V7/T7</f>
        <v>0.80060977350416684</v>
      </c>
    </row>
    <row r="8" spans="1:220" s="104" customFormat="1">
      <c r="A8" s="62">
        <v>2016</v>
      </c>
      <c r="B8" s="63">
        <v>18</v>
      </c>
      <c r="C8" s="63">
        <v>14</v>
      </c>
      <c r="D8" s="81">
        <f t="shared" si="0"/>
        <v>32</v>
      </c>
      <c r="E8" s="82">
        <f t="shared" si="1"/>
        <v>32</v>
      </c>
      <c r="F8" s="82">
        <f t="shared" si="2"/>
        <v>18</v>
      </c>
      <c r="G8" s="63">
        <v>18</v>
      </c>
      <c r="H8" s="63">
        <v>14</v>
      </c>
      <c r="I8" s="63">
        <v>214</v>
      </c>
      <c r="J8" s="63">
        <v>561</v>
      </c>
      <c r="K8" s="108">
        <f t="shared" si="3"/>
        <v>775</v>
      </c>
      <c r="L8" s="63">
        <v>243</v>
      </c>
      <c r="M8" s="109">
        <f t="shared" si="4"/>
        <v>457</v>
      </c>
      <c r="N8" s="63">
        <v>225</v>
      </c>
      <c r="O8" s="63">
        <v>572.84</v>
      </c>
      <c r="P8" s="183">
        <f t="shared" si="5"/>
        <v>0.79777948467285797</v>
      </c>
      <c r="Q8" s="63">
        <v>246</v>
      </c>
      <c r="R8" s="63">
        <v>27</v>
      </c>
      <c r="S8" s="64">
        <v>5238954</v>
      </c>
      <c r="T8" s="110">
        <f t="shared" si="6"/>
        <v>9858312</v>
      </c>
      <c r="U8" s="64">
        <v>3490498</v>
      </c>
      <c r="V8" s="64">
        <v>6367814</v>
      </c>
      <c r="W8" s="185">
        <f t="shared" si="7"/>
        <v>0.64593350261180615</v>
      </c>
    </row>
    <row r="9" spans="1:220" s="105" customFormat="1">
      <c r="A9" s="68">
        <v>2015</v>
      </c>
      <c r="B9" s="91">
        <v>19</v>
      </c>
      <c r="C9" s="91">
        <v>11.75</v>
      </c>
      <c r="D9" s="81">
        <f t="shared" si="0"/>
        <v>30.75</v>
      </c>
      <c r="E9" s="82">
        <f t="shared" si="1"/>
        <v>25</v>
      </c>
      <c r="F9" s="82">
        <f t="shared" si="2"/>
        <v>15</v>
      </c>
      <c r="G9" s="111"/>
      <c r="H9" s="111"/>
      <c r="I9" s="91">
        <v>147</v>
      </c>
      <c r="J9" s="91">
        <v>508</v>
      </c>
      <c r="K9" s="108">
        <f t="shared" si="3"/>
        <v>655</v>
      </c>
      <c r="L9" s="91">
        <v>212</v>
      </c>
      <c r="M9" s="109">
        <f t="shared" si="4"/>
        <v>359</v>
      </c>
      <c r="N9" s="91">
        <v>196</v>
      </c>
      <c r="O9" s="91">
        <v>469.7</v>
      </c>
      <c r="P9" s="183">
        <f t="shared" si="5"/>
        <v>0.76431764956355119</v>
      </c>
      <c r="Q9" s="91">
        <v>311</v>
      </c>
      <c r="R9" s="91">
        <v>20</v>
      </c>
      <c r="S9" s="102">
        <v>5525274</v>
      </c>
      <c r="T9" s="110">
        <f t="shared" si="6"/>
        <v>8860411</v>
      </c>
      <c r="U9" s="102">
        <v>2962076</v>
      </c>
      <c r="V9" s="102">
        <v>5898335</v>
      </c>
      <c r="W9" s="185">
        <f t="shared" si="7"/>
        <v>0.66569541751505656</v>
      </c>
    </row>
    <row r="10" spans="1:220" s="105" customFormat="1">
      <c r="A10" s="90">
        <v>2014</v>
      </c>
      <c r="B10" s="63">
        <v>20</v>
      </c>
      <c r="C10" s="63">
        <v>8.75</v>
      </c>
      <c r="D10" s="81">
        <f t="shared" si="0"/>
        <v>28.75</v>
      </c>
      <c r="E10" s="82">
        <f t="shared" si="1"/>
        <v>16</v>
      </c>
      <c r="F10" s="82">
        <f t="shared" si="2"/>
        <v>11</v>
      </c>
      <c r="G10" s="111"/>
      <c r="H10" s="111"/>
      <c r="I10" s="63">
        <v>81</v>
      </c>
      <c r="J10" s="63">
        <v>417</v>
      </c>
      <c r="K10" s="108">
        <f t="shared" si="3"/>
        <v>498</v>
      </c>
      <c r="L10" s="269">
        <v>169.58</v>
      </c>
      <c r="M10" s="109">
        <f t="shared" si="4"/>
        <v>250.58</v>
      </c>
      <c r="N10" s="63">
        <v>150</v>
      </c>
      <c r="O10" s="269">
        <v>329</v>
      </c>
      <c r="P10" s="183">
        <f t="shared" si="5"/>
        <v>0.76164133738601825</v>
      </c>
      <c r="Q10" s="63">
        <v>311</v>
      </c>
      <c r="R10" s="63">
        <v>20</v>
      </c>
      <c r="S10" s="147">
        <v>5138824</v>
      </c>
      <c r="T10" s="110">
        <f t="shared" si="6"/>
        <v>7870461</v>
      </c>
      <c r="U10" s="147">
        <v>1789888</v>
      </c>
      <c r="V10" s="147">
        <v>6080573</v>
      </c>
      <c r="W10" s="185">
        <f t="shared" si="7"/>
        <v>0.77258155526086714</v>
      </c>
    </row>
    <row r="11" spans="1:220" s="71" customFormat="1">
      <c r="A11" s="107">
        <v>2013</v>
      </c>
      <c r="B11" s="270">
        <v>19</v>
      </c>
      <c r="C11" s="270">
        <v>7.75</v>
      </c>
      <c r="D11" s="81">
        <f t="shared" si="0"/>
        <v>26.75</v>
      </c>
      <c r="E11" s="82">
        <f t="shared" si="1"/>
        <v>28</v>
      </c>
      <c r="F11" s="82">
        <f t="shared" si="2"/>
        <v>20</v>
      </c>
      <c r="G11" s="113"/>
      <c r="H11" s="113"/>
      <c r="I11" s="270">
        <v>171</v>
      </c>
      <c r="J11" s="270">
        <v>416</v>
      </c>
      <c r="K11" s="108">
        <f t="shared" si="3"/>
        <v>587</v>
      </c>
      <c r="L11" s="271">
        <v>165.5</v>
      </c>
      <c r="M11" s="109">
        <f t="shared" si="4"/>
        <v>336.5</v>
      </c>
      <c r="N11" s="270">
        <v>27</v>
      </c>
      <c r="O11" s="270">
        <v>535.44000000000005</v>
      </c>
      <c r="P11" s="183">
        <f t="shared" si="5"/>
        <v>0.62845510234573432</v>
      </c>
      <c r="Q11" s="270">
        <v>58</v>
      </c>
      <c r="R11" s="270">
        <v>16</v>
      </c>
      <c r="S11" s="272">
        <v>5261139</v>
      </c>
      <c r="T11" s="110">
        <f t="shared" si="6"/>
        <v>10122137</v>
      </c>
      <c r="U11" s="272">
        <v>3982001</v>
      </c>
      <c r="V11" s="272">
        <v>6140136</v>
      </c>
      <c r="W11" s="185">
        <f t="shared" si="7"/>
        <v>0.60660471202869515</v>
      </c>
    </row>
    <row r="12" spans="1:220" s="71" customFormat="1">
      <c r="A12" s="107">
        <v>2012</v>
      </c>
      <c r="B12" s="270">
        <v>19</v>
      </c>
      <c r="C12" s="270">
        <v>23</v>
      </c>
      <c r="D12" s="81">
        <f t="shared" si="0"/>
        <v>42</v>
      </c>
      <c r="E12" s="82">
        <f t="shared" si="1"/>
        <v>51</v>
      </c>
      <c r="F12" s="82">
        <f t="shared" si="2"/>
        <v>23</v>
      </c>
      <c r="G12" s="113"/>
      <c r="H12" s="113"/>
      <c r="I12" s="270">
        <v>139</v>
      </c>
      <c r="J12" s="270">
        <v>525</v>
      </c>
      <c r="K12" s="108">
        <f t="shared" si="3"/>
        <v>664</v>
      </c>
      <c r="L12" s="271">
        <v>211</v>
      </c>
      <c r="M12" s="109">
        <f t="shared" si="4"/>
        <v>350</v>
      </c>
      <c r="N12" s="270">
        <v>186</v>
      </c>
      <c r="O12" s="270">
        <v>974.61</v>
      </c>
      <c r="P12" s="183">
        <f t="shared" si="5"/>
        <v>0.35911800617682971</v>
      </c>
      <c r="Q12" s="270">
        <v>485</v>
      </c>
      <c r="R12" s="270">
        <v>113</v>
      </c>
      <c r="S12" s="272">
        <v>5209502</v>
      </c>
      <c r="T12" s="110">
        <f t="shared" si="6"/>
        <v>5315905</v>
      </c>
      <c r="U12" s="272">
        <v>3940010</v>
      </c>
      <c r="V12" s="272">
        <v>1375895</v>
      </c>
      <c r="W12" s="185">
        <f t="shared" si="7"/>
        <v>0.25882610769003583</v>
      </c>
    </row>
    <row r="13" spans="1:220" s="71" customFormat="1">
      <c r="A13" s="107">
        <v>2011</v>
      </c>
      <c r="B13" s="270">
        <v>19</v>
      </c>
      <c r="C13" s="270">
        <v>11.75</v>
      </c>
      <c r="D13" s="81">
        <f t="shared" si="0"/>
        <v>30.75</v>
      </c>
      <c r="E13" s="82">
        <f t="shared" si="1"/>
        <v>27</v>
      </c>
      <c r="F13" s="82">
        <f t="shared" si="2"/>
        <v>17</v>
      </c>
      <c r="G13" s="113"/>
      <c r="H13" s="113"/>
      <c r="I13" s="270">
        <v>163</v>
      </c>
      <c r="J13" s="270">
        <v>654</v>
      </c>
      <c r="K13" s="108">
        <f t="shared" si="3"/>
        <v>817</v>
      </c>
      <c r="L13" s="270">
        <v>270.25</v>
      </c>
      <c r="M13" s="109">
        <f t="shared" si="4"/>
        <v>433.25</v>
      </c>
      <c r="N13" s="270">
        <v>204</v>
      </c>
      <c r="O13" s="270">
        <v>510.46</v>
      </c>
      <c r="P13" s="183">
        <f t="shared" si="5"/>
        <v>0.84874426987423113</v>
      </c>
      <c r="Q13" s="270">
        <v>501</v>
      </c>
      <c r="R13" s="270">
        <v>20</v>
      </c>
      <c r="S13" s="272">
        <v>6299625</v>
      </c>
      <c r="T13" s="110">
        <f t="shared" si="6"/>
        <v>9489348</v>
      </c>
      <c r="U13" s="272">
        <v>2980469</v>
      </c>
      <c r="V13" s="272">
        <v>6508879</v>
      </c>
      <c r="W13" s="185">
        <f t="shared" si="7"/>
        <v>0.68591424827079794</v>
      </c>
    </row>
    <row r="14" spans="1:220" s="71" customFormat="1">
      <c r="A14" s="107">
        <v>2010</v>
      </c>
      <c r="B14" s="270">
        <v>22</v>
      </c>
      <c r="C14" s="270">
        <v>6.8</v>
      </c>
      <c r="D14" s="81">
        <f t="shared" si="0"/>
        <v>28.8</v>
      </c>
      <c r="E14" s="82">
        <f t="shared" si="1"/>
        <v>27</v>
      </c>
      <c r="F14" s="82">
        <f t="shared" si="2"/>
        <v>20</v>
      </c>
      <c r="G14" s="113"/>
      <c r="H14" s="113"/>
      <c r="I14" s="270">
        <v>139</v>
      </c>
      <c r="J14" s="270">
        <v>1049</v>
      </c>
      <c r="K14" s="108">
        <f t="shared" si="3"/>
        <v>1188</v>
      </c>
      <c r="L14" s="270">
        <v>363.83</v>
      </c>
      <c r="M14" s="109">
        <f t="shared" si="4"/>
        <v>502.83</v>
      </c>
      <c r="N14" s="270">
        <v>233</v>
      </c>
      <c r="O14" s="270">
        <v>587.88</v>
      </c>
      <c r="P14" s="183">
        <f t="shared" si="5"/>
        <v>0.85532761788120026</v>
      </c>
      <c r="Q14" s="270">
        <v>448</v>
      </c>
      <c r="R14" s="270">
        <v>12</v>
      </c>
      <c r="S14" s="272">
        <v>6233462</v>
      </c>
      <c r="T14" s="110">
        <f t="shared" si="6"/>
        <v>9527136</v>
      </c>
      <c r="U14" s="272">
        <v>2974160</v>
      </c>
      <c r="V14" s="272">
        <v>6552976</v>
      </c>
      <c r="W14" s="185">
        <f t="shared" si="7"/>
        <v>0.68782223744890381</v>
      </c>
    </row>
    <row r="15" spans="1:220" s="71" customFormat="1">
      <c r="A15" s="107">
        <v>2009</v>
      </c>
      <c r="B15" s="270">
        <v>19</v>
      </c>
      <c r="C15" s="270">
        <v>6.4</v>
      </c>
      <c r="D15" s="81">
        <f t="shared" si="0"/>
        <v>25.4</v>
      </c>
      <c r="E15" s="82">
        <f t="shared" si="1"/>
        <v>30</v>
      </c>
      <c r="F15" s="82">
        <f t="shared" si="2"/>
        <v>22</v>
      </c>
      <c r="G15" s="113"/>
      <c r="H15" s="113"/>
      <c r="I15" s="270">
        <v>136</v>
      </c>
      <c r="J15" s="270">
        <v>918</v>
      </c>
      <c r="K15" s="108">
        <f t="shared" si="3"/>
        <v>1054</v>
      </c>
      <c r="L15" s="270">
        <v>365</v>
      </c>
      <c r="M15" s="109">
        <f t="shared" si="4"/>
        <v>501</v>
      </c>
      <c r="N15" s="270">
        <v>250</v>
      </c>
      <c r="O15" s="270">
        <v>560.54999999999995</v>
      </c>
      <c r="P15" s="183">
        <f t="shared" si="5"/>
        <v>0.89376505218089386</v>
      </c>
      <c r="Q15" s="270">
        <v>341</v>
      </c>
      <c r="R15" s="270">
        <v>12</v>
      </c>
      <c r="S15" s="272">
        <v>5565260</v>
      </c>
      <c r="T15" s="110">
        <f t="shared" si="6"/>
        <v>8984033</v>
      </c>
      <c r="U15" s="272">
        <v>2832534</v>
      </c>
      <c r="V15" s="272">
        <v>6151499</v>
      </c>
      <c r="W15" s="185">
        <f t="shared" si="7"/>
        <v>0.68471464875518595</v>
      </c>
    </row>
    <row r="16" spans="1:220" s="71" customFormat="1">
      <c r="A16" s="107">
        <v>2008</v>
      </c>
      <c r="B16" s="270">
        <v>18</v>
      </c>
      <c r="C16" s="270">
        <v>12.2</v>
      </c>
      <c r="D16" s="81">
        <f t="shared" si="0"/>
        <v>30.2</v>
      </c>
      <c r="E16" s="82">
        <f t="shared" si="1"/>
        <v>26</v>
      </c>
      <c r="F16" s="82">
        <f t="shared" si="2"/>
        <v>15</v>
      </c>
      <c r="G16" s="113"/>
      <c r="H16" s="113"/>
      <c r="I16" s="270">
        <v>82</v>
      </c>
      <c r="J16" s="270">
        <v>814</v>
      </c>
      <c r="K16" s="108">
        <f t="shared" si="3"/>
        <v>896</v>
      </c>
      <c r="L16" s="270">
        <v>314.08</v>
      </c>
      <c r="M16" s="109">
        <f t="shared" si="4"/>
        <v>396.08</v>
      </c>
      <c r="N16" s="270">
        <v>208</v>
      </c>
      <c r="O16" s="270">
        <v>462.74</v>
      </c>
      <c r="P16" s="183">
        <f t="shared" si="5"/>
        <v>0.85594502312313603</v>
      </c>
      <c r="Q16" s="270">
        <v>334</v>
      </c>
      <c r="R16" s="270">
        <v>12</v>
      </c>
      <c r="S16" s="272">
        <v>5116853</v>
      </c>
      <c r="T16" s="110">
        <f t="shared" si="6"/>
        <v>8558007</v>
      </c>
      <c r="U16" s="272">
        <v>2721423</v>
      </c>
      <c r="V16" s="272">
        <v>5836584</v>
      </c>
      <c r="W16" s="185">
        <f t="shared" si="7"/>
        <v>0.68200271394963807</v>
      </c>
    </row>
    <row r="17" spans="1:23" s="71" customFormat="1">
      <c r="A17" s="106">
        <v>2007</v>
      </c>
      <c r="B17" s="270">
        <v>18</v>
      </c>
      <c r="C17" s="270">
        <v>11.6</v>
      </c>
      <c r="D17" s="81">
        <f t="shared" si="0"/>
        <v>29.6</v>
      </c>
      <c r="E17" s="82">
        <f t="shared" si="1"/>
        <v>36</v>
      </c>
      <c r="F17" s="82">
        <f t="shared" si="2"/>
        <v>22</v>
      </c>
      <c r="G17" s="113"/>
      <c r="H17" s="113"/>
      <c r="I17" s="270">
        <v>123</v>
      </c>
      <c r="J17" s="270">
        <v>922</v>
      </c>
      <c r="K17" s="108">
        <f t="shared" si="3"/>
        <v>1045</v>
      </c>
      <c r="L17" s="270">
        <v>479</v>
      </c>
      <c r="M17" s="109">
        <f t="shared" si="4"/>
        <v>602</v>
      </c>
      <c r="N17" s="270">
        <v>206</v>
      </c>
      <c r="O17" s="270">
        <v>648</v>
      </c>
      <c r="P17" s="183">
        <f t="shared" si="5"/>
        <v>0.92901234567901236</v>
      </c>
      <c r="Q17" s="270">
        <v>374</v>
      </c>
      <c r="R17" s="270">
        <v>57</v>
      </c>
      <c r="S17" s="273">
        <v>5105921</v>
      </c>
      <c r="T17" s="110">
        <f t="shared" si="6"/>
        <v>8165304</v>
      </c>
      <c r="U17" s="274">
        <v>2655400</v>
      </c>
      <c r="V17" s="274">
        <v>5509904</v>
      </c>
      <c r="W17" s="185">
        <f t="shared" si="7"/>
        <v>0.67479471676743452</v>
      </c>
    </row>
    <row r="18" spans="1:23" s="71" customFormat="1">
      <c r="A18" s="106">
        <v>2006</v>
      </c>
      <c r="B18" s="270">
        <v>14</v>
      </c>
      <c r="C18" s="270">
        <v>10</v>
      </c>
      <c r="D18" s="81">
        <f t="shared" si="0"/>
        <v>24</v>
      </c>
      <c r="E18" s="82">
        <f t="shared" si="1"/>
        <v>46</v>
      </c>
      <c r="F18" s="82">
        <f t="shared" si="2"/>
        <v>27</v>
      </c>
      <c r="G18" s="113"/>
      <c r="H18" s="113"/>
      <c r="I18" s="270">
        <v>133</v>
      </c>
      <c r="J18" s="270">
        <v>837</v>
      </c>
      <c r="K18" s="108">
        <f t="shared" si="3"/>
        <v>970</v>
      </c>
      <c r="L18" s="270">
        <v>439</v>
      </c>
      <c r="M18" s="109">
        <f t="shared" si="4"/>
        <v>572</v>
      </c>
      <c r="N18" s="270">
        <v>180</v>
      </c>
      <c r="O18" s="270">
        <v>646</v>
      </c>
      <c r="P18" s="183">
        <f t="shared" si="5"/>
        <v>0.88544891640866874</v>
      </c>
      <c r="Q18" s="270">
        <v>249</v>
      </c>
      <c r="R18" s="270">
        <v>22</v>
      </c>
      <c r="S18" s="275">
        <v>5111118</v>
      </c>
      <c r="T18" s="110">
        <f t="shared" si="6"/>
        <v>8280013</v>
      </c>
      <c r="U18" s="276">
        <v>2629900</v>
      </c>
      <c r="V18" s="276">
        <v>5650113</v>
      </c>
      <c r="W18" s="185">
        <f t="shared" si="7"/>
        <v>0.68237972573231465</v>
      </c>
    </row>
    <row r="19" spans="1:23" s="71" customFormat="1">
      <c r="A19" s="106">
        <v>2005</v>
      </c>
      <c r="B19" s="270">
        <v>15</v>
      </c>
      <c r="C19" s="270">
        <v>8</v>
      </c>
      <c r="D19" s="81">
        <f t="shared" si="0"/>
        <v>23</v>
      </c>
      <c r="E19" s="82">
        <f t="shared" si="1"/>
        <v>40</v>
      </c>
      <c r="F19" s="82">
        <f t="shared" si="2"/>
        <v>26</v>
      </c>
      <c r="G19" s="113"/>
      <c r="H19" s="113"/>
      <c r="I19" s="270">
        <v>125</v>
      </c>
      <c r="J19" s="270">
        <v>739</v>
      </c>
      <c r="K19" s="108">
        <f t="shared" si="3"/>
        <v>864</v>
      </c>
      <c r="L19" s="270">
        <v>390</v>
      </c>
      <c r="M19" s="109">
        <f t="shared" si="4"/>
        <v>515</v>
      </c>
      <c r="N19" s="270">
        <v>161</v>
      </c>
      <c r="O19" s="270">
        <v>599</v>
      </c>
      <c r="P19" s="183">
        <f t="shared" si="5"/>
        <v>0.85976627712854758</v>
      </c>
      <c r="Q19" s="270">
        <v>249</v>
      </c>
      <c r="R19" s="270">
        <v>22</v>
      </c>
      <c r="S19" s="276">
        <v>5887902</v>
      </c>
      <c r="T19" s="110">
        <f t="shared" si="6"/>
        <v>8388371</v>
      </c>
      <c r="U19" s="276">
        <v>2713423</v>
      </c>
      <c r="V19" s="276">
        <v>5674948</v>
      </c>
      <c r="W19" s="185">
        <f t="shared" si="7"/>
        <v>0.67652563292682211</v>
      </c>
    </row>
    <row r="20" spans="1:23" s="71" customFormat="1">
      <c r="A20" s="106">
        <v>2004</v>
      </c>
      <c r="B20" s="270">
        <v>16</v>
      </c>
      <c r="C20" s="270">
        <v>5.5</v>
      </c>
      <c r="D20" s="81">
        <f t="shared" si="0"/>
        <v>21.5</v>
      </c>
      <c r="E20" s="82">
        <f t="shared" si="1"/>
        <v>32</v>
      </c>
      <c r="F20" s="82">
        <f t="shared" si="2"/>
        <v>24</v>
      </c>
      <c r="G20" s="113"/>
      <c r="H20" s="113"/>
      <c r="I20" s="270">
        <v>116</v>
      </c>
      <c r="J20" s="270">
        <v>509</v>
      </c>
      <c r="K20" s="108">
        <f t="shared" si="3"/>
        <v>625</v>
      </c>
      <c r="L20" s="270">
        <v>340</v>
      </c>
      <c r="M20" s="109">
        <f t="shared" si="4"/>
        <v>456</v>
      </c>
      <c r="N20" s="270">
        <v>108</v>
      </c>
      <c r="O20" s="270">
        <v>511</v>
      </c>
      <c r="P20" s="183">
        <f t="shared" si="5"/>
        <v>0.89236790606653615</v>
      </c>
      <c r="Q20" s="270">
        <v>201</v>
      </c>
      <c r="R20" s="270">
        <v>10</v>
      </c>
      <c r="S20" s="276">
        <v>5470855</v>
      </c>
      <c r="T20" s="110">
        <f t="shared" si="6"/>
        <v>8265305</v>
      </c>
      <c r="U20" s="276">
        <v>2464141</v>
      </c>
      <c r="V20" s="276">
        <v>5801164</v>
      </c>
      <c r="W20" s="185">
        <f t="shared" si="7"/>
        <v>0.70186932000694469</v>
      </c>
    </row>
    <row r="21" spans="1:23" s="71" customFormat="1">
      <c r="A21" s="106">
        <v>2003</v>
      </c>
      <c r="B21" s="270">
        <v>14</v>
      </c>
      <c r="C21" s="270">
        <v>6</v>
      </c>
      <c r="D21" s="81">
        <f t="shared" si="0"/>
        <v>20</v>
      </c>
      <c r="E21" s="82">
        <f t="shared" si="1"/>
        <v>40</v>
      </c>
      <c r="F21" s="82">
        <f t="shared" si="2"/>
        <v>28</v>
      </c>
      <c r="G21" s="113"/>
      <c r="H21" s="113"/>
      <c r="I21" s="270">
        <v>126</v>
      </c>
      <c r="J21" s="270">
        <v>645</v>
      </c>
      <c r="K21" s="108">
        <f t="shared" si="3"/>
        <v>771</v>
      </c>
      <c r="L21" s="270">
        <v>340</v>
      </c>
      <c r="M21" s="109">
        <f t="shared" si="4"/>
        <v>466</v>
      </c>
      <c r="N21" s="270">
        <v>108</v>
      </c>
      <c r="O21" s="270">
        <v>565</v>
      </c>
      <c r="P21" s="183">
        <f t="shared" si="5"/>
        <v>0.82477876106194692</v>
      </c>
      <c r="Q21" s="270">
        <v>201</v>
      </c>
      <c r="R21" s="270">
        <v>10</v>
      </c>
      <c r="S21" s="276">
        <v>3868144</v>
      </c>
      <c r="T21" s="110">
        <f t="shared" si="6"/>
        <v>4432428</v>
      </c>
      <c r="U21" s="276">
        <v>2240128</v>
      </c>
      <c r="V21" s="276">
        <v>2192300</v>
      </c>
      <c r="W21" s="185">
        <f t="shared" si="7"/>
        <v>0.49460476289744582</v>
      </c>
    </row>
    <row r="22" spans="1:23" s="71" customFormat="1">
      <c r="A22" s="106">
        <v>2002</v>
      </c>
      <c r="B22" s="270">
        <v>13</v>
      </c>
      <c r="C22" s="270">
        <v>5</v>
      </c>
      <c r="D22" s="81">
        <f t="shared" si="0"/>
        <v>18</v>
      </c>
      <c r="E22" s="82">
        <f t="shared" si="1"/>
        <v>32</v>
      </c>
      <c r="F22" s="82">
        <f t="shared" si="2"/>
        <v>23</v>
      </c>
      <c r="G22" s="113"/>
      <c r="H22" s="113"/>
      <c r="I22" s="270">
        <v>100</v>
      </c>
      <c r="J22" s="270">
        <v>504</v>
      </c>
      <c r="K22" s="108">
        <f t="shared" si="3"/>
        <v>604</v>
      </c>
      <c r="L22" s="270">
        <v>262</v>
      </c>
      <c r="M22" s="109">
        <f t="shared" si="4"/>
        <v>362</v>
      </c>
      <c r="N22" s="270">
        <v>65</v>
      </c>
      <c r="O22" s="270">
        <v>422</v>
      </c>
      <c r="P22" s="183">
        <f t="shared" si="5"/>
        <v>0.85781990521327012</v>
      </c>
      <c r="Q22" s="270">
        <v>131</v>
      </c>
      <c r="R22" s="270">
        <v>4</v>
      </c>
      <c r="S22" s="276">
        <v>2890789</v>
      </c>
      <c r="T22" s="110">
        <f t="shared" si="6"/>
        <v>3063860</v>
      </c>
      <c r="U22" s="276">
        <v>2235015</v>
      </c>
      <c r="V22" s="276">
        <v>828845</v>
      </c>
      <c r="W22" s="185">
        <f t="shared" si="7"/>
        <v>0.27052313095245867</v>
      </c>
    </row>
    <row r="23" spans="1:23" s="14" customFormat="1">
      <c r="A23" s="686" t="s">
        <v>164</v>
      </c>
      <c r="B23" s="658"/>
      <c r="C23" s="658"/>
      <c r="D23" s="658"/>
      <c r="E23" s="658"/>
      <c r="F23" s="658"/>
      <c r="G23" s="658"/>
      <c r="H23" s="658"/>
      <c r="I23" s="658"/>
      <c r="J23" s="658"/>
      <c r="K23" s="658"/>
      <c r="L23" s="658"/>
      <c r="M23" s="658"/>
      <c r="N23" s="658"/>
      <c r="O23" s="658"/>
      <c r="P23" s="658"/>
      <c r="Q23" s="658"/>
      <c r="R23" s="658"/>
      <c r="S23" s="658"/>
      <c r="T23" s="658"/>
      <c r="U23" s="658"/>
      <c r="V23" s="658"/>
      <c r="W23" s="658"/>
    </row>
    <row r="24" spans="1:23" s="14" customFormat="1"/>
    <row r="25" spans="1:23" s="14" customFormat="1"/>
    <row r="26" spans="1:23" s="14" customFormat="1"/>
    <row r="27" spans="1:23" s="14" customFormat="1"/>
    <row r="28" spans="1:23" s="14" customFormat="1"/>
    <row r="29" spans="1:23" s="14" customFormat="1"/>
    <row r="30" spans="1:23" s="14" customFormat="1"/>
    <row r="31" spans="1:23" s="14" customFormat="1"/>
    <row r="32" spans="1:23" s="14" customFormat="1"/>
    <row r="33" s="14" customFormat="1"/>
  </sheetData>
  <mergeCells count="1">
    <mergeCell ref="A23:W23"/>
  </mergeCells>
  <printOptions headings="1" gridLines="1"/>
  <pageMargins left="0.5" right="0.5" top="0.5" bottom="0.5" header="0" footer="0"/>
  <pageSetup paperSize="5" scale="66" orientation="landscape"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L34"/>
  <sheetViews>
    <sheetView workbookViewId="0">
      <selection activeCell="F31" sqref="F31"/>
    </sheetView>
  </sheetViews>
  <sheetFormatPr defaultColWidth="8.85546875" defaultRowHeight="15"/>
  <cols>
    <col min="1" max="1" width="1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14</v>
      </c>
      <c r="B1" s="2"/>
      <c r="C1" s="1"/>
      <c r="D1" s="1"/>
      <c r="E1" s="1"/>
      <c r="F1" s="1"/>
      <c r="G1" s="1"/>
      <c r="H1" s="1"/>
      <c r="I1" s="1"/>
      <c r="J1" s="1"/>
      <c r="K1" s="1"/>
      <c r="L1" s="1"/>
      <c r="M1" s="1"/>
      <c r="N1" s="1"/>
      <c r="O1" s="1"/>
      <c r="P1" s="1"/>
      <c r="Q1" s="1"/>
      <c r="R1" s="1"/>
      <c r="S1" s="1"/>
      <c r="T1" s="1"/>
      <c r="U1" s="1"/>
      <c r="V1" s="1"/>
      <c r="W1" s="1"/>
    </row>
    <row r="2" spans="1:220" s="7" customFormat="1" ht="60" customHeight="1">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6">
        <v>2021</v>
      </c>
      <c r="B3" s="409">
        <v>10</v>
      </c>
      <c r="C3" s="409">
        <v>4.5</v>
      </c>
      <c r="D3" s="410">
        <f>SUM(B3,C3)</f>
        <v>14.5</v>
      </c>
      <c r="E3" s="411">
        <f t="shared" ref="E3" si="0">ROUND((O3/B3), 0)</f>
        <v>20</v>
      </c>
      <c r="F3" s="411">
        <f>ROUND((O3/D3),0)</f>
        <v>14</v>
      </c>
      <c r="G3" s="409">
        <v>10</v>
      </c>
      <c r="H3" s="409">
        <v>2.75</v>
      </c>
      <c r="I3" s="409">
        <v>63</v>
      </c>
      <c r="J3" s="409">
        <v>124</v>
      </c>
      <c r="K3" s="410">
        <f>SUM(I3:J3)</f>
        <v>187</v>
      </c>
      <c r="L3" s="409">
        <v>41.33</v>
      </c>
      <c r="M3" s="411">
        <v>104.33</v>
      </c>
      <c r="N3" s="409">
        <v>53</v>
      </c>
      <c r="O3" s="409">
        <v>204.67</v>
      </c>
      <c r="P3" s="413">
        <f>M3/O3</f>
        <v>0.50974739825084281</v>
      </c>
      <c r="Q3" s="409">
        <v>79</v>
      </c>
      <c r="R3" s="409">
        <v>20</v>
      </c>
      <c r="S3" s="414">
        <v>1260970.2</v>
      </c>
      <c r="T3" s="415">
        <v>1541046.44</v>
      </c>
      <c r="U3" s="414">
        <v>1334688.52</v>
      </c>
      <c r="V3" s="414">
        <v>0</v>
      </c>
      <c r="W3" s="335">
        <v>0</v>
      </c>
    </row>
    <row r="4" spans="1:220" s="26" customFormat="1">
      <c r="A4" s="417">
        <v>2020</v>
      </c>
      <c r="B4" s="409">
        <v>10</v>
      </c>
      <c r="C4" s="409">
        <v>2.15</v>
      </c>
      <c r="D4" s="29">
        <f>SUM(B4:C4)</f>
        <v>12.15</v>
      </c>
      <c r="E4" s="172">
        <f>ROUND((O4/B4), 0)</f>
        <v>20</v>
      </c>
      <c r="F4" s="172">
        <f>ROUND((O4/D4),0)</f>
        <v>16</v>
      </c>
      <c r="G4" s="409">
        <v>10</v>
      </c>
      <c r="H4" s="409">
        <v>2</v>
      </c>
      <c r="I4" s="409">
        <v>66</v>
      </c>
      <c r="J4" s="409">
        <v>140</v>
      </c>
      <c r="K4" s="29">
        <f>SUM(I4:J4)</f>
        <v>206</v>
      </c>
      <c r="L4" s="409">
        <v>46.67</v>
      </c>
      <c r="M4" s="172">
        <f>(I4+L4)</f>
        <v>112.67</v>
      </c>
      <c r="N4" s="409">
        <v>58</v>
      </c>
      <c r="O4" s="409">
        <v>195.33</v>
      </c>
      <c r="P4" s="183">
        <f>M4/O4</f>
        <v>0.57681871704295296</v>
      </c>
      <c r="Q4" s="409">
        <v>72</v>
      </c>
      <c r="R4" s="409">
        <v>20</v>
      </c>
      <c r="S4" s="414">
        <v>1046761</v>
      </c>
      <c r="T4" s="30">
        <f>SUM(U4:V4)</f>
        <v>1141093</v>
      </c>
      <c r="U4" s="414">
        <v>1141093</v>
      </c>
      <c r="V4" s="414">
        <v>0</v>
      </c>
      <c r="W4" s="335">
        <v>0</v>
      </c>
    </row>
    <row r="5" spans="1:220" s="26" customFormat="1">
      <c r="A5" s="417">
        <v>2019</v>
      </c>
      <c r="B5" s="409">
        <v>9</v>
      </c>
      <c r="C5" s="409">
        <v>2</v>
      </c>
      <c r="D5" s="29">
        <f>SUM(B5:C5)</f>
        <v>11</v>
      </c>
      <c r="E5" s="172">
        <f>ROUND((O5/B5), 0)</f>
        <v>20</v>
      </c>
      <c r="F5" s="172">
        <f>ROUND((O5/D5), 0)</f>
        <v>16</v>
      </c>
      <c r="G5" s="409">
        <v>9</v>
      </c>
      <c r="H5" s="409">
        <v>2</v>
      </c>
      <c r="I5" s="409">
        <v>65</v>
      </c>
      <c r="J5" s="409">
        <v>149</v>
      </c>
      <c r="K5" s="29">
        <f>SUM(I5:J5)</f>
        <v>214</v>
      </c>
      <c r="L5" s="409">
        <v>49.67</v>
      </c>
      <c r="M5" s="172">
        <f>(I5+L5)</f>
        <v>114.67</v>
      </c>
      <c r="N5" s="409">
        <v>50</v>
      </c>
      <c r="O5" s="409">
        <v>179.33</v>
      </c>
      <c r="P5" s="183">
        <f>M5/O5</f>
        <v>0.63943567724307138</v>
      </c>
      <c r="Q5" s="409">
        <v>55</v>
      </c>
      <c r="R5" s="409">
        <v>17</v>
      </c>
      <c r="S5" s="414">
        <v>1180054.1100000001</v>
      </c>
      <c r="T5" s="30">
        <f>SUM(U5:V5)</f>
        <v>1179709</v>
      </c>
      <c r="U5" s="414">
        <v>1135553</v>
      </c>
      <c r="V5" s="414">
        <v>44156</v>
      </c>
      <c r="W5" s="335">
        <f>V5/T5</f>
        <v>3.7429569495528135E-2</v>
      </c>
    </row>
    <row r="6" spans="1:220" s="17" customFormat="1">
      <c r="A6" s="33">
        <v>2018</v>
      </c>
      <c r="B6" s="20">
        <v>8</v>
      </c>
      <c r="C6" s="20">
        <v>2</v>
      </c>
      <c r="D6" s="29">
        <f>SUM(B6:C6)</f>
        <v>10</v>
      </c>
      <c r="E6" s="172">
        <f>ROUND((O6/B6), 0)</f>
        <v>22</v>
      </c>
      <c r="F6" s="172">
        <f>ROUND((O6/D6), 0)</f>
        <v>18</v>
      </c>
      <c r="G6" s="20">
        <v>8</v>
      </c>
      <c r="H6" s="20">
        <v>2</v>
      </c>
      <c r="I6" s="20">
        <v>68</v>
      </c>
      <c r="J6" s="20">
        <v>138</v>
      </c>
      <c r="K6" s="29">
        <f t="shared" ref="K6" si="1">SUM(I6:J6)</f>
        <v>206</v>
      </c>
      <c r="L6" s="20">
        <v>46</v>
      </c>
      <c r="M6" s="172">
        <f>(I6+L6)</f>
        <v>114</v>
      </c>
      <c r="N6" s="20">
        <v>51</v>
      </c>
      <c r="O6" s="20">
        <v>179</v>
      </c>
      <c r="P6" s="183">
        <f>M6/O6</f>
        <v>0.63687150837988826</v>
      </c>
      <c r="Q6" s="20">
        <v>63</v>
      </c>
      <c r="R6" s="20">
        <v>13</v>
      </c>
      <c r="S6" s="24">
        <v>1247534</v>
      </c>
      <c r="T6" s="30">
        <f>SUM(U6:V6)</f>
        <v>1176939</v>
      </c>
      <c r="U6" s="24">
        <v>1144226</v>
      </c>
      <c r="V6" s="24">
        <v>32713</v>
      </c>
      <c r="W6" s="185">
        <f>V6/T6</f>
        <v>2.7794983427348402E-2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9</v>
      </c>
      <c r="C7" s="20">
        <v>1</v>
      </c>
      <c r="D7" s="34">
        <f>SUM(B7:C7)</f>
        <v>10</v>
      </c>
      <c r="E7" s="34">
        <f>ROUND((O7/B7), 0)</f>
        <v>17</v>
      </c>
      <c r="F7" s="34">
        <f>ROUND((O7/D7), 0)</f>
        <v>15</v>
      </c>
      <c r="G7" s="20">
        <v>9</v>
      </c>
      <c r="H7" s="20">
        <v>0</v>
      </c>
      <c r="I7" s="20">
        <v>62</v>
      </c>
      <c r="J7" s="20">
        <v>119</v>
      </c>
      <c r="K7" s="34">
        <f>SUM(I7:J7)</f>
        <v>181</v>
      </c>
      <c r="L7" s="20">
        <v>39.67</v>
      </c>
      <c r="M7" s="36">
        <f>(I7+L7)</f>
        <v>101.67</v>
      </c>
      <c r="N7" s="344">
        <v>40</v>
      </c>
      <c r="O7" s="344">
        <v>151.33000000000001</v>
      </c>
      <c r="P7" s="183">
        <f t="shared" ref="P7:P22" si="2">M7/O7</f>
        <v>0.67184299213639065</v>
      </c>
      <c r="Q7" s="20">
        <v>57</v>
      </c>
      <c r="R7" s="20">
        <v>12</v>
      </c>
      <c r="S7" s="300">
        <v>1291308</v>
      </c>
      <c r="T7" s="35">
        <f>SUM(U7:V7)</f>
        <v>1322689</v>
      </c>
      <c r="U7" s="341">
        <v>1212636</v>
      </c>
      <c r="V7" s="24">
        <v>110053</v>
      </c>
      <c r="W7" s="185">
        <f t="shared" ref="W7:W22" si="3">V7/T7</f>
        <v>8.3203988239109877E-2</v>
      </c>
    </row>
    <row r="8" spans="1:220" s="65" customFormat="1">
      <c r="A8" s="95">
        <v>2016</v>
      </c>
      <c r="B8" s="63">
        <v>9</v>
      </c>
      <c r="C8" s="63">
        <v>1</v>
      </c>
      <c r="D8" s="81">
        <f>B8+C8</f>
        <v>10</v>
      </c>
      <c r="E8" s="82">
        <f>ROUND((O8/B8), 0)</f>
        <v>13</v>
      </c>
      <c r="F8" s="82">
        <f>ROUND((O8/D8), 0)</f>
        <v>12</v>
      </c>
      <c r="G8" s="83">
        <v>9</v>
      </c>
      <c r="H8" s="83">
        <v>0</v>
      </c>
      <c r="I8" s="63">
        <v>49</v>
      </c>
      <c r="J8" s="63">
        <v>97</v>
      </c>
      <c r="K8" s="81">
        <f>I8+J8</f>
        <v>146</v>
      </c>
      <c r="L8" s="63">
        <v>32.33</v>
      </c>
      <c r="M8" s="82">
        <f>I8+L8</f>
        <v>81.33</v>
      </c>
      <c r="N8" s="63">
        <v>30</v>
      </c>
      <c r="O8" s="63">
        <v>119</v>
      </c>
      <c r="P8" s="183">
        <f t="shared" si="2"/>
        <v>0.6834453781512605</v>
      </c>
      <c r="Q8" s="63">
        <v>45</v>
      </c>
      <c r="R8" s="63">
        <v>7</v>
      </c>
      <c r="S8" s="63">
        <v>1490822</v>
      </c>
      <c r="T8" s="110">
        <f>SUM(U8:V8)</f>
        <v>1673397</v>
      </c>
      <c r="U8" s="63">
        <v>1361177</v>
      </c>
      <c r="V8" s="63">
        <v>312220</v>
      </c>
      <c r="W8" s="185">
        <f t="shared" si="3"/>
        <v>0.1865785584652058</v>
      </c>
    </row>
    <row r="9" spans="1:220" s="65" customFormat="1">
      <c r="A9" s="90">
        <v>2015</v>
      </c>
      <c r="B9" s="63">
        <v>11</v>
      </c>
      <c r="C9" s="63">
        <v>0</v>
      </c>
      <c r="D9" s="87">
        <v>11</v>
      </c>
      <c r="E9" s="87">
        <v>10</v>
      </c>
      <c r="F9" s="87">
        <v>10</v>
      </c>
      <c r="G9" s="111"/>
      <c r="H9" s="111"/>
      <c r="I9" s="63">
        <v>46</v>
      </c>
      <c r="J9" s="63">
        <v>96</v>
      </c>
      <c r="K9" s="87">
        <v>142</v>
      </c>
      <c r="L9" s="63">
        <v>32</v>
      </c>
      <c r="M9" s="87">
        <v>78</v>
      </c>
      <c r="N9" s="63">
        <v>28</v>
      </c>
      <c r="O9" s="63">
        <v>114</v>
      </c>
      <c r="P9" s="183">
        <f t="shared" si="2"/>
        <v>0.68421052631578949</v>
      </c>
      <c r="Q9" s="63">
        <v>47</v>
      </c>
      <c r="R9" s="63">
        <v>12</v>
      </c>
      <c r="S9" s="64">
        <v>1490473</v>
      </c>
      <c r="T9" s="148">
        <v>1794149</v>
      </c>
      <c r="U9" s="64">
        <v>1506237</v>
      </c>
      <c r="V9" s="64">
        <v>287912</v>
      </c>
      <c r="W9" s="185">
        <f t="shared" si="3"/>
        <v>0.16047273665676595</v>
      </c>
    </row>
    <row r="10" spans="1:220" s="105" customFormat="1">
      <c r="A10" s="90">
        <v>2014</v>
      </c>
      <c r="B10" s="91">
        <v>11</v>
      </c>
      <c r="C10" s="91">
        <v>0.33</v>
      </c>
      <c r="D10" s="81">
        <f>B10+C10</f>
        <v>11.33</v>
      </c>
      <c r="E10" s="82">
        <f t="shared" ref="E10:E22" si="4">ROUND((O10/B10), 0)</f>
        <v>12</v>
      </c>
      <c r="F10" s="82">
        <f t="shared" ref="F10:F22" si="5">ROUND((O10/D10), 0)</f>
        <v>11</v>
      </c>
      <c r="G10" s="111"/>
      <c r="H10" s="111"/>
      <c r="I10" s="91">
        <v>38</v>
      </c>
      <c r="J10" s="91">
        <v>103</v>
      </c>
      <c r="K10" s="81">
        <f>I10+J10</f>
        <v>141</v>
      </c>
      <c r="L10" s="91">
        <v>61.78</v>
      </c>
      <c r="M10" s="82">
        <f>I10+L10</f>
        <v>99.78</v>
      </c>
      <c r="N10" s="91">
        <v>13</v>
      </c>
      <c r="O10" s="91">
        <v>127</v>
      </c>
      <c r="P10" s="183">
        <f t="shared" si="2"/>
        <v>0.78566929133858265</v>
      </c>
      <c r="Q10" s="91">
        <v>54</v>
      </c>
      <c r="R10" s="91">
        <v>7</v>
      </c>
      <c r="S10" s="92">
        <v>1471568</v>
      </c>
      <c r="T10" s="85">
        <f t="shared" ref="T10:T22" si="6">SUM(U10:V10)</f>
        <v>1610919</v>
      </c>
      <c r="U10" s="92">
        <v>1276177</v>
      </c>
      <c r="V10" s="92">
        <v>334742</v>
      </c>
      <c r="W10" s="185">
        <f t="shared" si="3"/>
        <v>0.20779567439455368</v>
      </c>
    </row>
    <row r="11" spans="1:220" s="71" customFormat="1">
      <c r="A11" s="90">
        <v>2013</v>
      </c>
      <c r="B11" s="361">
        <v>10</v>
      </c>
      <c r="C11" s="361">
        <v>0.66</v>
      </c>
      <c r="D11" s="108">
        <f>B11+C11</f>
        <v>10.66</v>
      </c>
      <c r="E11" s="109">
        <f t="shared" si="4"/>
        <v>21</v>
      </c>
      <c r="F11" s="109">
        <f t="shared" si="5"/>
        <v>20</v>
      </c>
      <c r="G11" s="113"/>
      <c r="H11" s="113"/>
      <c r="I11" s="361">
        <v>32</v>
      </c>
      <c r="J11" s="361">
        <v>116</v>
      </c>
      <c r="K11" s="108">
        <f>I11+J11</f>
        <v>148</v>
      </c>
      <c r="L11" s="361">
        <v>70.45</v>
      </c>
      <c r="M11" s="109">
        <f>I11+L11</f>
        <v>102.45</v>
      </c>
      <c r="N11" s="361">
        <v>24</v>
      </c>
      <c r="O11" s="361">
        <v>214.56</v>
      </c>
      <c r="P11" s="183">
        <f t="shared" si="2"/>
        <v>0.47748881431767337</v>
      </c>
      <c r="Q11" s="361">
        <v>58</v>
      </c>
      <c r="R11" s="361">
        <v>6</v>
      </c>
      <c r="S11" s="112">
        <v>1610306</v>
      </c>
      <c r="T11" s="110">
        <f t="shared" si="6"/>
        <v>1816287</v>
      </c>
      <c r="U11" s="112">
        <v>1403452</v>
      </c>
      <c r="V11" s="112">
        <v>412835</v>
      </c>
      <c r="W11" s="185">
        <f t="shared" si="3"/>
        <v>0.22729612665839705</v>
      </c>
    </row>
    <row r="12" spans="1:220" s="71" customFormat="1">
      <c r="A12" s="90">
        <v>2012</v>
      </c>
      <c r="B12" s="361">
        <v>12</v>
      </c>
      <c r="C12" s="361">
        <v>1</v>
      </c>
      <c r="D12" s="108">
        <f>B12+C12</f>
        <v>13</v>
      </c>
      <c r="E12" s="109">
        <f t="shared" si="4"/>
        <v>14</v>
      </c>
      <c r="F12" s="109">
        <f t="shared" si="5"/>
        <v>13</v>
      </c>
      <c r="G12" s="113"/>
      <c r="H12" s="113"/>
      <c r="I12" s="361">
        <v>33</v>
      </c>
      <c r="J12" s="361">
        <v>140</v>
      </c>
      <c r="K12" s="108">
        <f>I12+J12</f>
        <v>173</v>
      </c>
      <c r="L12" s="361">
        <v>108.3</v>
      </c>
      <c r="M12" s="109">
        <f>I12+L12</f>
        <v>141.30000000000001</v>
      </c>
      <c r="N12" s="361">
        <v>31</v>
      </c>
      <c r="O12" s="361">
        <v>163.30000000000001</v>
      </c>
      <c r="P12" s="183">
        <f t="shared" si="2"/>
        <v>0.86527862829148805</v>
      </c>
      <c r="Q12" s="361">
        <v>61</v>
      </c>
      <c r="R12" s="361">
        <v>6</v>
      </c>
      <c r="S12" s="112">
        <v>1708157</v>
      </c>
      <c r="T12" s="110">
        <f t="shared" si="6"/>
        <v>1959389</v>
      </c>
      <c r="U12" s="112">
        <v>1862489</v>
      </c>
      <c r="V12" s="112">
        <v>96900</v>
      </c>
      <c r="W12" s="185">
        <f t="shared" si="3"/>
        <v>4.94541920976386E-2</v>
      </c>
    </row>
    <row r="13" spans="1:220" s="71" customFormat="1">
      <c r="A13" s="90" t="s">
        <v>81</v>
      </c>
      <c r="B13" s="361">
        <v>12</v>
      </c>
      <c r="C13" s="361">
        <v>1.65</v>
      </c>
      <c r="D13" s="108">
        <f t="shared" ref="D13:D22" si="7">SUM(B13:C13)</f>
        <v>13.65</v>
      </c>
      <c r="E13" s="109">
        <f t="shared" si="4"/>
        <v>24</v>
      </c>
      <c r="F13" s="109">
        <f t="shared" si="5"/>
        <v>21</v>
      </c>
      <c r="G13" s="113"/>
      <c r="H13" s="113"/>
      <c r="I13" s="361">
        <v>36</v>
      </c>
      <c r="J13" s="361">
        <v>143</v>
      </c>
      <c r="K13" s="108">
        <f t="shared" ref="K13:K22" si="8">SUM(I13:J13)</f>
        <v>179</v>
      </c>
      <c r="L13" s="361">
        <v>83</v>
      </c>
      <c r="M13" s="109">
        <f t="shared" ref="M13:M22" si="9">(I13+L13)</f>
        <v>119</v>
      </c>
      <c r="N13" s="361">
        <v>32</v>
      </c>
      <c r="O13" s="361">
        <v>291.66999999999996</v>
      </c>
      <c r="P13" s="183">
        <f t="shared" si="2"/>
        <v>0.40799533719614639</v>
      </c>
      <c r="Q13" s="361">
        <v>52</v>
      </c>
      <c r="R13" s="361">
        <v>8</v>
      </c>
      <c r="S13" s="112">
        <v>1566169</v>
      </c>
      <c r="T13" s="110">
        <f t="shared" si="6"/>
        <v>1742198</v>
      </c>
      <c r="U13" s="112">
        <v>967007</v>
      </c>
      <c r="V13" s="112">
        <v>775191</v>
      </c>
      <c r="W13" s="185">
        <f t="shared" si="3"/>
        <v>0.44494999994260126</v>
      </c>
    </row>
    <row r="14" spans="1:220" s="71" customFormat="1">
      <c r="A14" s="90" t="s">
        <v>82</v>
      </c>
      <c r="B14" s="361">
        <v>11</v>
      </c>
      <c r="C14" s="361">
        <v>2.31</v>
      </c>
      <c r="D14" s="108">
        <f t="shared" si="7"/>
        <v>13.31</v>
      </c>
      <c r="E14" s="109">
        <f t="shared" si="4"/>
        <v>20</v>
      </c>
      <c r="F14" s="109">
        <f t="shared" si="5"/>
        <v>17</v>
      </c>
      <c r="G14" s="113"/>
      <c r="H14" s="113"/>
      <c r="I14" s="361">
        <v>44</v>
      </c>
      <c r="J14" s="361">
        <v>134</v>
      </c>
      <c r="K14" s="108">
        <f t="shared" si="8"/>
        <v>178</v>
      </c>
      <c r="L14" s="361">
        <v>76.33</v>
      </c>
      <c r="M14" s="109">
        <f t="shared" si="9"/>
        <v>120.33</v>
      </c>
      <c r="N14" s="361">
        <v>37</v>
      </c>
      <c r="O14" s="361">
        <v>222.51</v>
      </c>
      <c r="P14" s="183">
        <f t="shared" si="2"/>
        <v>0.54078468383443445</v>
      </c>
      <c r="Q14" s="361">
        <v>53</v>
      </c>
      <c r="R14" s="361">
        <v>10</v>
      </c>
      <c r="S14" s="112">
        <v>1754041</v>
      </c>
      <c r="T14" s="110">
        <f t="shared" si="6"/>
        <v>1806641</v>
      </c>
      <c r="U14" s="112">
        <v>1094580</v>
      </c>
      <c r="V14" s="112">
        <v>712061</v>
      </c>
      <c r="W14" s="185">
        <f t="shared" si="3"/>
        <v>0.39413530413623959</v>
      </c>
    </row>
    <row r="15" spans="1:220" s="71" customFormat="1">
      <c r="A15" s="90" t="s">
        <v>83</v>
      </c>
      <c r="B15" s="361">
        <v>13</v>
      </c>
      <c r="C15" s="361">
        <v>2.64</v>
      </c>
      <c r="D15" s="108">
        <f t="shared" si="7"/>
        <v>15.64</v>
      </c>
      <c r="E15" s="109">
        <f t="shared" si="4"/>
        <v>20</v>
      </c>
      <c r="F15" s="109">
        <f t="shared" si="5"/>
        <v>17</v>
      </c>
      <c r="G15" s="113"/>
      <c r="H15" s="113"/>
      <c r="I15" s="361">
        <v>40</v>
      </c>
      <c r="J15" s="361">
        <v>134</v>
      </c>
      <c r="K15" s="108">
        <f t="shared" si="8"/>
        <v>174</v>
      </c>
      <c r="L15" s="361">
        <v>84.56</v>
      </c>
      <c r="M15" s="109">
        <f t="shared" si="9"/>
        <v>124.56</v>
      </c>
      <c r="N15" s="361">
        <v>30</v>
      </c>
      <c r="O15" s="361">
        <v>258.24</v>
      </c>
      <c r="P15" s="183">
        <f t="shared" si="2"/>
        <v>0.48234200743494421</v>
      </c>
      <c r="Q15" s="361">
        <v>62</v>
      </c>
      <c r="R15" s="361">
        <v>14</v>
      </c>
      <c r="S15" s="112">
        <v>1699654.37</v>
      </c>
      <c r="T15" s="110">
        <f t="shared" si="6"/>
        <v>1759423</v>
      </c>
      <c r="U15" s="112">
        <v>1468255</v>
      </c>
      <c r="V15" s="112">
        <v>291168</v>
      </c>
      <c r="W15" s="185">
        <f t="shared" si="3"/>
        <v>0.16549061823109054</v>
      </c>
    </row>
    <row r="16" spans="1:220" s="71" customFormat="1">
      <c r="A16" s="90" t="s">
        <v>84</v>
      </c>
      <c r="B16" s="361">
        <v>12</v>
      </c>
      <c r="C16" s="361">
        <v>4</v>
      </c>
      <c r="D16" s="108">
        <f t="shared" si="7"/>
        <v>16</v>
      </c>
      <c r="E16" s="109">
        <f t="shared" si="4"/>
        <v>18</v>
      </c>
      <c r="F16" s="109">
        <f t="shared" si="5"/>
        <v>13</v>
      </c>
      <c r="G16" s="113"/>
      <c r="H16" s="113"/>
      <c r="I16" s="361">
        <v>27</v>
      </c>
      <c r="J16" s="361">
        <v>149</v>
      </c>
      <c r="K16" s="108">
        <f t="shared" si="8"/>
        <v>176</v>
      </c>
      <c r="L16" s="361">
        <v>84</v>
      </c>
      <c r="M16" s="109">
        <f t="shared" si="9"/>
        <v>111</v>
      </c>
      <c r="N16" s="361">
        <v>23</v>
      </c>
      <c r="O16" s="361">
        <v>211</v>
      </c>
      <c r="P16" s="183">
        <f t="shared" si="2"/>
        <v>0.52606635071090047</v>
      </c>
      <c r="Q16" s="361">
        <v>61</v>
      </c>
      <c r="R16" s="361">
        <v>14</v>
      </c>
      <c r="S16" s="112">
        <v>1945823.7250000001</v>
      </c>
      <c r="T16" s="110">
        <f t="shared" si="6"/>
        <v>1850978</v>
      </c>
      <c r="U16" s="112">
        <v>1464183</v>
      </c>
      <c r="V16" s="112">
        <v>386795</v>
      </c>
      <c r="W16" s="185">
        <f t="shared" si="3"/>
        <v>0.20896790777632149</v>
      </c>
    </row>
    <row r="17" spans="1:23" s="71" customFormat="1">
      <c r="A17" s="90">
        <v>2007</v>
      </c>
      <c r="B17" s="361">
        <v>13</v>
      </c>
      <c r="C17" s="361">
        <v>4</v>
      </c>
      <c r="D17" s="194">
        <f t="shared" si="7"/>
        <v>17</v>
      </c>
      <c r="E17" s="109">
        <f t="shared" si="4"/>
        <v>12</v>
      </c>
      <c r="F17" s="109">
        <f t="shared" si="5"/>
        <v>9</v>
      </c>
      <c r="G17" s="113"/>
      <c r="H17" s="113"/>
      <c r="I17" s="361">
        <v>33</v>
      </c>
      <c r="J17" s="361">
        <v>156</v>
      </c>
      <c r="K17" s="194">
        <f t="shared" si="8"/>
        <v>189</v>
      </c>
      <c r="L17" s="361">
        <v>89.23</v>
      </c>
      <c r="M17" s="109">
        <f t="shared" si="9"/>
        <v>122.23</v>
      </c>
      <c r="N17" s="361">
        <v>18</v>
      </c>
      <c r="O17" s="361">
        <v>156</v>
      </c>
      <c r="P17" s="183">
        <f t="shared" si="2"/>
        <v>0.78352564102564104</v>
      </c>
      <c r="Q17" s="361">
        <v>31</v>
      </c>
      <c r="R17" s="361">
        <v>16</v>
      </c>
      <c r="S17" s="208">
        <v>2087849</v>
      </c>
      <c r="T17" s="110">
        <f t="shared" si="6"/>
        <v>1768925</v>
      </c>
      <c r="U17" s="208">
        <v>1601064</v>
      </c>
      <c r="V17" s="208">
        <v>167861</v>
      </c>
      <c r="W17" s="185">
        <f t="shared" si="3"/>
        <v>9.4894356742089125E-2</v>
      </c>
    </row>
    <row r="18" spans="1:23" s="71" customFormat="1">
      <c r="A18" s="90">
        <v>2006</v>
      </c>
      <c r="B18" s="361">
        <v>13</v>
      </c>
      <c r="C18" s="361">
        <v>3</v>
      </c>
      <c r="D18" s="194">
        <f t="shared" si="7"/>
        <v>16</v>
      </c>
      <c r="E18" s="109">
        <f t="shared" si="4"/>
        <v>12</v>
      </c>
      <c r="F18" s="109">
        <f t="shared" si="5"/>
        <v>10</v>
      </c>
      <c r="G18" s="113"/>
      <c r="H18" s="113"/>
      <c r="I18" s="361">
        <v>30</v>
      </c>
      <c r="J18" s="361">
        <v>154</v>
      </c>
      <c r="K18" s="194">
        <f t="shared" si="8"/>
        <v>184</v>
      </c>
      <c r="L18" s="361">
        <v>87</v>
      </c>
      <c r="M18" s="109">
        <f t="shared" si="9"/>
        <v>117</v>
      </c>
      <c r="N18" s="361">
        <v>19</v>
      </c>
      <c r="O18" s="361">
        <v>161</v>
      </c>
      <c r="P18" s="183">
        <f t="shared" si="2"/>
        <v>0.72670807453416153</v>
      </c>
      <c r="Q18" s="361">
        <v>43</v>
      </c>
      <c r="R18" s="361">
        <v>7</v>
      </c>
      <c r="S18" s="192">
        <v>1539595</v>
      </c>
      <c r="T18" s="110">
        <f t="shared" si="6"/>
        <v>1105520</v>
      </c>
      <c r="U18" s="192">
        <v>992404</v>
      </c>
      <c r="V18" s="192">
        <v>113116</v>
      </c>
      <c r="W18" s="185">
        <f t="shared" si="3"/>
        <v>0.10231927056950575</v>
      </c>
    </row>
    <row r="19" spans="1:23" s="71" customFormat="1">
      <c r="A19" s="90">
        <v>2005</v>
      </c>
      <c r="B19" s="361">
        <v>9</v>
      </c>
      <c r="C19" s="361">
        <v>3</v>
      </c>
      <c r="D19" s="194">
        <f t="shared" si="7"/>
        <v>12</v>
      </c>
      <c r="E19" s="109">
        <f t="shared" si="4"/>
        <v>14</v>
      </c>
      <c r="F19" s="109">
        <f t="shared" si="5"/>
        <v>11</v>
      </c>
      <c r="G19" s="113"/>
      <c r="H19" s="113"/>
      <c r="I19" s="361">
        <v>33</v>
      </c>
      <c r="J19" s="361">
        <v>108</v>
      </c>
      <c r="K19" s="194">
        <f t="shared" si="8"/>
        <v>141</v>
      </c>
      <c r="L19" s="361">
        <v>56</v>
      </c>
      <c r="M19" s="109">
        <f t="shared" si="9"/>
        <v>89</v>
      </c>
      <c r="N19" s="361">
        <v>11</v>
      </c>
      <c r="O19" s="361">
        <v>129</v>
      </c>
      <c r="P19" s="183">
        <f t="shared" si="2"/>
        <v>0.68992248062015504</v>
      </c>
      <c r="Q19" s="361">
        <v>61</v>
      </c>
      <c r="R19" s="361">
        <v>13</v>
      </c>
      <c r="S19" s="192">
        <v>1493268</v>
      </c>
      <c r="T19" s="110">
        <f t="shared" si="6"/>
        <v>1525173</v>
      </c>
      <c r="U19" s="192">
        <v>1425719</v>
      </c>
      <c r="V19" s="192">
        <v>99454</v>
      </c>
      <c r="W19" s="185">
        <f t="shared" si="3"/>
        <v>6.5208340299756154E-2</v>
      </c>
    </row>
    <row r="20" spans="1:23" s="71" customFormat="1">
      <c r="A20" s="90">
        <v>2004</v>
      </c>
      <c r="B20" s="195">
        <v>11</v>
      </c>
      <c r="C20" s="195">
        <v>1</v>
      </c>
      <c r="D20" s="194">
        <f t="shared" si="7"/>
        <v>12</v>
      </c>
      <c r="E20" s="109">
        <f t="shared" si="4"/>
        <v>12</v>
      </c>
      <c r="F20" s="109">
        <f t="shared" si="5"/>
        <v>11</v>
      </c>
      <c r="G20" s="113"/>
      <c r="H20" s="113"/>
      <c r="I20" s="195">
        <v>34</v>
      </c>
      <c r="J20" s="195">
        <v>105</v>
      </c>
      <c r="K20" s="194">
        <f t="shared" si="8"/>
        <v>139</v>
      </c>
      <c r="L20" s="195">
        <v>56</v>
      </c>
      <c r="M20" s="109">
        <f t="shared" si="9"/>
        <v>90</v>
      </c>
      <c r="N20" s="195">
        <v>12</v>
      </c>
      <c r="O20" s="195">
        <v>128</v>
      </c>
      <c r="P20" s="183">
        <f t="shared" si="2"/>
        <v>0.703125</v>
      </c>
      <c r="Q20" s="195">
        <v>69</v>
      </c>
      <c r="R20" s="361">
        <v>4</v>
      </c>
      <c r="S20" s="192">
        <v>1365132</v>
      </c>
      <c r="T20" s="110">
        <f t="shared" si="6"/>
        <v>1383209</v>
      </c>
      <c r="U20" s="192">
        <v>1216055</v>
      </c>
      <c r="V20" s="192">
        <v>167154</v>
      </c>
      <c r="W20" s="185">
        <f t="shared" si="3"/>
        <v>0.12084507836487472</v>
      </c>
    </row>
    <row r="21" spans="1:23" s="71" customFormat="1">
      <c r="A21" s="90">
        <v>2003</v>
      </c>
      <c r="B21" s="195">
        <v>11</v>
      </c>
      <c r="C21" s="195">
        <v>0</v>
      </c>
      <c r="D21" s="194">
        <f t="shared" si="7"/>
        <v>11</v>
      </c>
      <c r="E21" s="109">
        <f t="shared" si="4"/>
        <v>14</v>
      </c>
      <c r="F21" s="109">
        <f t="shared" si="5"/>
        <v>14</v>
      </c>
      <c r="G21" s="113"/>
      <c r="H21" s="113"/>
      <c r="I21" s="195">
        <v>35</v>
      </c>
      <c r="J21" s="195">
        <v>133</v>
      </c>
      <c r="K21" s="194">
        <f t="shared" si="8"/>
        <v>168</v>
      </c>
      <c r="L21" s="195">
        <f>ROUND(58.11, 0)</f>
        <v>58</v>
      </c>
      <c r="M21" s="109">
        <f t="shared" si="9"/>
        <v>93</v>
      </c>
      <c r="N21" s="195">
        <v>13</v>
      </c>
      <c r="O21" s="195">
        <v>158</v>
      </c>
      <c r="P21" s="183">
        <f t="shared" si="2"/>
        <v>0.58860759493670889</v>
      </c>
      <c r="Q21" s="195">
        <v>40</v>
      </c>
      <c r="R21" s="361">
        <v>0</v>
      </c>
      <c r="S21" s="192">
        <v>1092378</v>
      </c>
      <c r="T21" s="110">
        <f t="shared" si="6"/>
        <v>1120363</v>
      </c>
      <c r="U21" s="192">
        <v>967105</v>
      </c>
      <c r="V21" s="192">
        <v>153258</v>
      </c>
      <c r="W21" s="185">
        <f t="shared" si="3"/>
        <v>0.13679316435833744</v>
      </c>
    </row>
    <row r="22" spans="1:23" s="71" customFormat="1">
      <c r="A22" s="90">
        <v>2002</v>
      </c>
      <c r="B22" s="195">
        <v>10</v>
      </c>
      <c r="C22" s="195">
        <v>0</v>
      </c>
      <c r="D22" s="194">
        <f t="shared" si="7"/>
        <v>10</v>
      </c>
      <c r="E22" s="109">
        <f t="shared" si="4"/>
        <v>14</v>
      </c>
      <c r="F22" s="109">
        <f t="shared" si="5"/>
        <v>14</v>
      </c>
      <c r="G22" s="113"/>
      <c r="H22" s="113"/>
      <c r="I22" s="195">
        <v>21</v>
      </c>
      <c r="J22" s="195">
        <v>132</v>
      </c>
      <c r="K22" s="194">
        <f t="shared" si="8"/>
        <v>153</v>
      </c>
      <c r="L22" s="195">
        <f>ROUND(62.4, 0)</f>
        <v>62</v>
      </c>
      <c r="M22" s="109">
        <f t="shared" si="9"/>
        <v>83</v>
      </c>
      <c r="N22" s="195">
        <v>17</v>
      </c>
      <c r="O22" s="195">
        <f>ROUND(135, 0)</f>
        <v>135</v>
      </c>
      <c r="P22" s="183">
        <f t="shared" si="2"/>
        <v>0.61481481481481481</v>
      </c>
      <c r="Q22" s="195">
        <v>61</v>
      </c>
      <c r="R22" s="361">
        <v>0</v>
      </c>
      <c r="S22" s="192">
        <v>1057696</v>
      </c>
      <c r="T22" s="110">
        <f t="shared" si="6"/>
        <v>1062775</v>
      </c>
      <c r="U22" s="192">
        <v>848671</v>
      </c>
      <c r="V22" s="192">
        <v>214104</v>
      </c>
      <c r="W22" s="185">
        <f t="shared" si="3"/>
        <v>0.20145750511632282</v>
      </c>
    </row>
    <row r="23" spans="1:23" s="66" customFormat="1" ht="29.45" customHeight="1">
      <c r="A23" s="697" t="s">
        <v>106</v>
      </c>
      <c r="B23" s="697"/>
      <c r="C23" s="697"/>
      <c r="D23" s="697"/>
      <c r="E23" s="697"/>
      <c r="F23" s="697"/>
      <c r="G23" s="697"/>
      <c r="H23" s="697"/>
      <c r="I23" s="697"/>
      <c r="J23" s="697"/>
      <c r="K23" s="697"/>
      <c r="L23" s="697"/>
      <c r="M23" s="697"/>
      <c r="N23" s="697"/>
      <c r="O23" s="697"/>
      <c r="P23" s="697"/>
      <c r="Q23" s="697"/>
      <c r="R23" s="697"/>
      <c r="S23" s="697"/>
      <c r="T23" s="698"/>
      <c r="U23" s="698"/>
      <c r="V23" s="698"/>
      <c r="W23" s="698"/>
    </row>
    <row r="24" spans="1:23" s="14" customFormat="1"/>
    <row r="25" spans="1:23" s="14" customFormat="1"/>
    <row r="26" spans="1:23" s="14" customFormat="1"/>
    <row r="27" spans="1:23" s="14" customFormat="1"/>
    <row r="28" spans="1:23" s="14" customFormat="1"/>
    <row r="29" spans="1:23" s="14" customFormat="1"/>
    <row r="30" spans="1:23" s="14" customFormat="1"/>
    <row r="31" spans="1:23" s="14" customFormat="1"/>
    <row r="32" spans="1:23" s="14" customFormat="1"/>
    <row r="33" s="14" customFormat="1"/>
    <row r="34" s="14" customFormat="1"/>
  </sheetData>
  <mergeCells count="1">
    <mergeCell ref="A23:W23"/>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C9FFD-BE5E-46E6-80BC-FC5D5362230D}">
  <dimension ref="A1:HL10"/>
  <sheetViews>
    <sheetView workbookViewId="0">
      <selection activeCell="D18" sqref="D18"/>
    </sheetView>
  </sheetViews>
  <sheetFormatPr defaultRowHeight="15"/>
  <cols>
    <col min="5" max="5" width="12.7109375" customWidth="1"/>
    <col min="6" max="6" width="11.140625" customWidth="1"/>
    <col min="7" max="7" width="13.42578125" customWidth="1"/>
    <col min="8" max="8" width="14.5703125" customWidth="1"/>
    <col min="10" max="10" width="11.7109375" customWidth="1"/>
    <col min="11" max="11" width="15.42578125" customWidth="1"/>
    <col min="12" max="12" width="12" customWidth="1"/>
    <col min="13" max="13" width="14.28515625" customWidth="1"/>
    <col min="14" max="14" width="13.140625" customWidth="1"/>
    <col min="15" max="15" width="13.28515625" customWidth="1"/>
    <col min="16" max="16" width="15.42578125" customWidth="1"/>
    <col min="19" max="19" width="11.7109375" customWidth="1"/>
    <col min="21" max="21" width="10.85546875" customWidth="1"/>
    <col min="23" max="23" width="12.5703125" customWidth="1"/>
  </cols>
  <sheetData>
    <row r="1" spans="1:220" s="1" customFormat="1" ht="18.75">
      <c r="A1" s="1" t="s">
        <v>223</v>
      </c>
      <c r="B1" s="2"/>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c r="BW1" s="605"/>
      <c r="BX1" s="605"/>
      <c r="BY1" s="605"/>
      <c r="BZ1" s="605"/>
      <c r="CA1" s="605"/>
      <c r="CB1" s="605"/>
      <c r="CC1" s="605"/>
      <c r="CD1" s="605"/>
      <c r="CE1" s="605"/>
      <c r="CF1" s="605"/>
      <c r="CG1" s="605"/>
      <c r="CH1" s="605"/>
      <c r="CI1" s="605"/>
      <c r="CJ1" s="605"/>
      <c r="CK1" s="605"/>
      <c r="CL1" s="605"/>
      <c r="CM1" s="605"/>
      <c r="CN1" s="605"/>
      <c r="CO1" s="605"/>
      <c r="CP1" s="605"/>
      <c r="CQ1" s="605"/>
      <c r="CR1" s="605"/>
      <c r="CS1" s="605"/>
      <c r="CT1" s="605"/>
      <c r="CU1" s="605"/>
      <c r="CV1" s="605"/>
      <c r="CW1" s="605"/>
      <c r="CX1" s="605"/>
      <c r="CY1" s="605"/>
      <c r="CZ1" s="605"/>
      <c r="DA1" s="605"/>
      <c r="DB1" s="605"/>
      <c r="DC1" s="605"/>
      <c r="DD1" s="605"/>
      <c r="DE1" s="605"/>
      <c r="DF1" s="605"/>
      <c r="DG1" s="605"/>
      <c r="DH1" s="605"/>
      <c r="DI1" s="605"/>
      <c r="DJ1" s="605"/>
      <c r="DK1" s="605"/>
      <c r="DL1" s="605"/>
      <c r="DM1" s="605"/>
      <c r="DN1" s="605"/>
      <c r="DO1" s="605"/>
      <c r="DP1" s="605"/>
      <c r="DQ1" s="605"/>
      <c r="DR1" s="605"/>
      <c r="DS1" s="605"/>
      <c r="DT1" s="605"/>
      <c r="DU1" s="605"/>
      <c r="DV1" s="605"/>
      <c r="DW1" s="605"/>
      <c r="DX1" s="605"/>
      <c r="DY1" s="605"/>
      <c r="DZ1" s="605"/>
      <c r="EA1" s="605"/>
      <c r="EB1" s="605"/>
      <c r="EC1" s="605"/>
      <c r="ED1" s="605"/>
      <c r="EE1" s="605"/>
      <c r="EF1" s="605"/>
      <c r="EG1" s="605"/>
      <c r="EH1" s="605"/>
      <c r="EI1" s="605"/>
      <c r="EJ1" s="605"/>
      <c r="EK1" s="605"/>
      <c r="EL1" s="605"/>
      <c r="EM1" s="605"/>
      <c r="EN1" s="605"/>
      <c r="EO1" s="605"/>
      <c r="EP1" s="605"/>
      <c r="EQ1" s="605"/>
      <c r="ER1" s="605"/>
      <c r="ES1" s="605"/>
      <c r="ET1" s="605"/>
      <c r="EU1" s="605"/>
      <c r="EV1" s="605"/>
      <c r="EW1" s="605"/>
      <c r="EX1" s="605"/>
      <c r="EY1" s="605"/>
      <c r="EZ1" s="605"/>
      <c r="FA1" s="605"/>
      <c r="FB1" s="605"/>
      <c r="FC1" s="605"/>
      <c r="FD1" s="605"/>
      <c r="FE1" s="605"/>
      <c r="FF1" s="605"/>
      <c r="FG1" s="605"/>
      <c r="FH1" s="605"/>
      <c r="FI1" s="605"/>
      <c r="FJ1" s="605"/>
      <c r="FK1" s="605"/>
      <c r="FL1" s="605"/>
      <c r="FM1" s="605"/>
      <c r="FN1" s="605"/>
      <c r="FO1" s="605"/>
      <c r="FP1" s="605"/>
      <c r="FQ1" s="605"/>
      <c r="FR1" s="605"/>
      <c r="FS1" s="605"/>
      <c r="FT1" s="605"/>
      <c r="FU1" s="605"/>
      <c r="FV1" s="605"/>
      <c r="FW1" s="605"/>
      <c r="FX1" s="605"/>
      <c r="FY1" s="605"/>
      <c r="FZ1" s="605"/>
      <c r="GA1" s="605"/>
      <c r="GB1" s="605"/>
      <c r="GC1" s="605"/>
      <c r="GD1" s="605"/>
      <c r="GE1" s="605"/>
      <c r="GF1" s="605"/>
      <c r="GG1" s="605"/>
      <c r="GH1" s="605"/>
      <c r="GI1" s="605"/>
      <c r="GJ1" s="605"/>
      <c r="GK1" s="605"/>
      <c r="GL1" s="605"/>
      <c r="GM1" s="605"/>
      <c r="GN1" s="605"/>
      <c r="GO1" s="605"/>
      <c r="GP1" s="605"/>
      <c r="GQ1" s="605"/>
      <c r="GR1" s="605"/>
      <c r="GS1" s="605"/>
      <c r="GT1" s="605"/>
      <c r="GU1" s="605"/>
      <c r="GV1" s="605"/>
      <c r="GW1" s="605"/>
      <c r="GX1" s="605"/>
      <c r="GY1" s="605"/>
      <c r="GZ1" s="605"/>
      <c r="HA1" s="605"/>
      <c r="HB1" s="605"/>
      <c r="HC1" s="605"/>
      <c r="HD1" s="605"/>
      <c r="HE1" s="605"/>
      <c r="HF1" s="605"/>
      <c r="HG1" s="605"/>
      <c r="HH1" s="605"/>
      <c r="HI1" s="605"/>
      <c r="HJ1" s="605"/>
      <c r="HK1" s="605"/>
      <c r="HL1" s="605"/>
    </row>
    <row r="2" spans="1:220" s="3" customFormat="1" ht="60" customHeight="1">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6"/>
      <c r="AX2" s="416"/>
      <c r="AY2" s="416"/>
      <c r="AZ2" s="416"/>
      <c r="BA2" s="416"/>
      <c r="BB2" s="416"/>
      <c r="BC2" s="416"/>
      <c r="BD2" s="416"/>
      <c r="BE2" s="416"/>
      <c r="BF2" s="416"/>
      <c r="BG2" s="416"/>
      <c r="BH2" s="416"/>
      <c r="BI2" s="416"/>
      <c r="BJ2" s="416"/>
      <c r="BK2" s="416"/>
      <c r="BL2" s="416"/>
      <c r="BM2" s="416"/>
      <c r="BN2" s="416"/>
      <c r="BO2" s="416"/>
      <c r="BP2" s="416"/>
      <c r="BQ2" s="416"/>
      <c r="BR2" s="416"/>
      <c r="BS2" s="416"/>
      <c r="BT2" s="416"/>
      <c r="BU2" s="416"/>
      <c r="BV2" s="416"/>
      <c r="BW2" s="416"/>
      <c r="BX2" s="416"/>
      <c r="BY2" s="416"/>
      <c r="BZ2" s="416"/>
      <c r="CA2" s="416"/>
      <c r="CB2" s="416"/>
      <c r="CC2" s="416"/>
      <c r="CD2" s="416"/>
      <c r="CE2" s="416"/>
      <c r="CF2" s="416"/>
      <c r="CG2" s="416"/>
      <c r="CH2" s="416"/>
      <c r="CI2" s="416"/>
      <c r="CJ2" s="416"/>
      <c r="CK2" s="416"/>
      <c r="CL2" s="416"/>
      <c r="CM2" s="416"/>
      <c r="CN2" s="416"/>
      <c r="CO2" s="416"/>
      <c r="CP2" s="416"/>
      <c r="CQ2" s="416"/>
      <c r="CR2" s="416"/>
      <c r="CS2" s="416"/>
      <c r="CT2" s="416"/>
      <c r="CU2" s="416"/>
      <c r="CV2" s="416"/>
      <c r="CW2" s="416"/>
      <c r="CX2" s="416"/>
      <c r="CY2" s="416"/>
      <c r="CZ2" s="416"/>
      <c r="DA2" s="416"/>
      <c r="DB2" s="416"/>
      <c r="DC2" s="416"/>
      <c r="DD2" s="416"/>
      <c r="DE2" s="416"/>
      <c r="DF2" s="416"/>
      <c r="DG2" s="416"/>
      <c r="DH2" s="416"/>
      <c r="DI2" s="416"/>
      <c r="DJ2" s="416"/>
      <c r="DK2" s="416"/>
      <c r="DL2" s="416"/>
      <c r="DM2" s="416"/>
      <c r="DN2" s="416"/>
      <c r="DO2" s="416"/>
      <c r="DP2" s="416"/>
      <c r="DQ2" s="416"/>
      <c r="DR2" s="416"/>
      <c r="DS2" s="416"/>
      <c r="DT2" s="416"/>
      <c r="DU2" s="416"/>
      <c r="DV2" s="416"/>
      <c r="DW2" s="416"/>
      <c r="DX2" s="416"/>
      <c r="DY2" s="416"/>
      <c r="DZ2" s="416"/>
      <c r="EA2" s="416"/>
      <c r="EB2" s="416"/>
      <c r="EC2" s="416"/>
      <c r="ED2" s="416"/>
      <c r="EE2" s="416"/>
      <c r="EF2" s="416"/>
      <c r="EG2" s="416"/>
      <c r="EH2" s="416"/>
      <c r="EI2" s="416"/>
      <c r="EJ2" s="416"/>
      <c r="EK2" s="416"/>
      <c r="EL2" s="416"/>
      <c r="EM2" s="416"/>
      <c r="EN2" s="416"/>
      <c r="EO2" s="416"/>
      <c r="EP2" s="416"/>
      <c r="EQ2" s="416"/>
      <c r="ER2" s="416"/>
      <c r="ES2" s="416"/>
      <c r="ET2" s="416"/>
      <c r="EU2" s="416"/>
      <c r="EV2" s="416"/>
      <c r="EW2" s="416"/>
      <c r="EX2" s="416"/>
      <c r="EY2" s="416"/>
      <c r="EZ2" s="416"/>
      <c r="FA2" s="416"/>
      <c r="FB2" s="416"/>
      <c r="FC2" s="416"/>
      <c r="FD2" s="416"/>
      <c r="FE2" s="416"/>
      <c r="FF2" s="416"/>
      <c r="FG2" s="416"/>
      <c r="FH2" s="416"/>
      <c r="FI2" s="416"/>
      <c r="FJ2" s="416"/>
      <c r="FK2" s="416"/>
      <c r="FL2" s="416"/>
      <c r="FM2" s="416"/>
      <c r="FN2" s="416"/>
      <c r="FO2" s="416"/>
      <c r="FP2" s="416"/>
      <c r="FQ2" s="416"/>
      <c r="FR2" s="416"/>
      <c r="FS2" s="416"/>
      <c r="FT2" s="416"/>
      <c r="FU2" s="416"/>
      <c r="FV2" s="416"/>
      <c r="FW2" s="416"/>
      <c r="FX2" s="416"/>
      <c r="FY2" s="416"/>
      <c r="FZ2" s="416"/>
      <c r="GA2" s="416"/>
      <c r="GB2" s="416"/>
      <c r="GC2" s="416"/>
      <c r="GD2" s="416"/>
      <c r="GE2" s="416"/>
      <c r="GF2" s="416"/>
      <c r="GG2" s="416"/>
      <c r="GH2" s="416"/>
      <c r="GI2" s="416"/>
      <c r="GJ2" s="416"/>
      <c r="GK2" s="416"/>
      <c r="GL2" s="416"/>
      <c r="GM2" s="416"/>
      <c r="GN2" s="416"/>
      <c r="GO2" s="416"/>
      <c r="GP2" s="416"/>
      <c r="GQ2" s="416"/>
      <c r="GR2" s="416"/>
      <c r="GS2" s="416"/>
      <c r="GT2" s="416"/>
      <c r="GU2" s="416"/>
      <c r="GV2" s="416"/>
      <c r="GW2" s="416"/>
      <c r="GX2" s="416"/>
      <c r="GY2" s="416"/>
      <c r="GZ2" s="416"/>
      <c r="HA2" s="416"/>
      <c r="HB2" s="416"/>
      <c r="HC2" s="416"/>
      <c r="HD2" s="416"/>
      <c r="HE2" s="416"/>
      <c r="HF2" s="416"/>
      <c r="HG2" s="416"/>
      <c r="HH2" s="416"/>
      <c r="HI2" s="416"/>
      <c r="HJ2" s="416"/>
      <c r="HK2" s="416"/>
      <c r="HL2" s="416"/>
    </row>
    <row r="3" spans="1:220" s="3" customFormat="1">
      <c r="A3" s="417">
        <v>2021</v>
      </c>
      <c r="B3" s="409">
        <v>6</v>
      </c>
      <c r="C3" s="606">
        <v>10.67</v>
      </c>
      <c r="D3" s="410">
        <f>SUM(B3:C3)</f>
        <v>16.670000000000002</v>
      </c>
      <c r="E3" s="411">
        <f>ROUND((O3/B3), 0)</f>
        <v>10</v>
      </c>
      <c r="F3" s="411">
        <f>ROUND((O3/D3), 0)</f>
        <v>4</v>
      </c>
      <c r="G3" s="409">
        <v>6</v>
      </c>
      <c r="H3" s="606">
        <v>10.67</v>
      </c>
      <c r="I3" s="409">
        <v>10</v>
      </c>
      <c r="J3" s="409">
        <v>113</v>
      </c>
      <c r="K3" s="410">
        <f t="shared" ref="K3" si="0">SUM(I3:J3)</f>
        <v>123</v>
      </c>
      <c r="L3" s="606">
        <v>40.869999999999997</v>
      </c>
      <c r="M3" s="411">
        <f>(I3+L3)</f>
        <v>50.87</v>
      </c>
      <c r="N3" s="409">
        <v>23</v>
      </c>
      <c r="O3" s="409">
        <v>62</v>
      </c>
      <c r="P3" s="413">
        <f t="shared" ref="P3" si="1">M3/O3</f>
        <v>0.82048387096774189</v>
      </c>
      <c r="Q3" s="409">
        <v>51</v>
      </c>
      <c r="R3" s="409">
        <v>5</v>
      </c>
      <c r="S3" s="414">
        <v>793125</v>
      </c>
      <c r="T3" s="415">
        <f>SUM(U3:V3)</f>
        <v>793125</v>
      </c>
      <c r="U3" s="414">
        <v>793125</v>
      </c>
      <c r="V3" s="414">
        <v>0</v>
      </c>
      <c r="W3" s="335">
        <f t="shared" ref="W3" si="2">V3/T3</f>
        <v>0</v>
      </c>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416"/>
      <c r="CL3" s="416"/>
      <c r="CM3" s="416"/>
      <c r="CN3" s="416"/>
      <c r="CO3" s="416"/>
      <c r="CP3" s="416"/>
      <c r="CQ3" s="416"/>
      <c r="CR3" s="416"/>
      <c r="CS3" s="416"/>
      <c r="CT3" s="416"/>
      <c r="CU3" s="416"/>
      <c r="CV3" s="416"/>
      <c r="CW3" s="416"/>
      <c r="CX3" s="416"/>
      <c r="CY3" s="416"/>
      <c r="CZ3" s="416"/>
      <c r="DA3" s="416"/>
      <c r="DB3" s="416"/>
      <c r="DC3" s="416"/>
      <c r="DD3" s="416"/>
      <c r="DE3" s="416"/>
      <c r="DF3" s="416"/>
      <c r="DG3" s="416"/>
      <c r="DH3" s="416"/>
      <c r="DI3" s="416"/>
      <c r="DJ3" s="416"/>
      <c r="DK3" s="416"/>
      <c r="DL3" s="416"/>
      <c r="DM3" s="416"/>
      <c r="DN3" s="416"/>
      <c r="DO3" s="416"/>
      <c r="DP3" s="416"/>
      <c r="DQ3" s="416"/>
      <c r="DR3" s="416"/>
      <c r="DS3" s="416"/>
      <c r="DT3" s="416"/>
      <c r="DU3" s="416"/>
      <c r="DV3" s="416"/>
      <c r="DW3" s="416"/>
      <c r="DX3" s="416"/>
      <c r="DY3" s="416"/>
      <c r="DZ3" s="416"/>
      <c r="EA3" s="416"/>
      <c r="EB3" s="416"/>
      <c r="EC3" s="416"/>
      <c r="ED3" s="416"/>
      <c r="EE3" s="416"/>
      <c r="EF3" s="416"/>
      <c r="EG3" s="416"/>
      <c r="EH3" s="416"/>
      <c r="EI3" s="416"/>
      <c r="EJ3" s="416"/>
      <c r="EK3" s="416"/>
      <c r="EL3" s="416"/>
      <c r="EM3" s="416"/>
      <c r="EN3" s="416"/>
      <c r="EO3" s="416"/>
      <c r="EP3" s="416"/>
      <c r="EQ3" s="416"/>
      <c r="ER3" s="416"/>
      <c r="ES3" s="416"/>
      <c r="ET3" s="416"/>
      <c r="EU3" s="416"/>
      <c r="EV3" s="416"/>
      <c r="EW3" s="416"/>
      <c r="EX3" s="416"/>
      <c r="EY3" s="416"/>
      <c r="EZ3" s="416"/>
      <c r="FA3" s="416"/>
      <c r="FB3" s="416"/>
      <c r="FC3" s="416"/>
      <c r="FD3" s="416"/>
      <c r="FE3" s="416"/>
      <c r="FF3" s="416"/>
      <c r="FG3" s="416"/>
      <c r="FH3" s="416"/>
      <c r="FI3" s="416"/>
      <c r="FJ3" s="416"/>
      <c r="FK3" s="416"/>
      <c r="FL3" s="416"/>
      <c r="FM3" s="416"/>
      <c r="FN3" s="416"/>
      <c r="FO3" s="416"/>
      <c r="FP3" s="416"/>
      <c r="FQ3" s="416"/>
      <c r="FR3" s="416"/>
      <c r="FS3" s="416"/>
      <c r="FT3" s="416"/>
      <c r="FU3" s="416"/>
      <c r="FV3" s="416"/>
      <c r="FW3" s="416"/>
      <c r="FX3" s="416"/>
      <c r="FY3" s="416"/>
      <c r="FZ3" s="416"/>
      <c r="GA3" s="416"/>
      <c r="GB3" s="416"/>
      <c r="GC3" s="416"/>
      <c r="GD3" s="416"/>
      <c r="GE3" s="416"/>
      <c r="GF3" s="416"/>
      <c r="GG3" s="416"/>
      <c r="GH3" s="416"/>
      <c r="GI3" s="416"/>
      <c r="GJ3" s="416"/>
      <c r="GK3" s="416"/>
      <c r="GL3" s="416"/>
      <c r="GM3" s="416"/>
      <c r="GN3" s="416"/>
      <c r="GO3" s="416"/>
      <c r="GP3" s="416"/>
      <c r="GQ3" s="416"/>
      <c r="GR3" s="416"/>
      <c r="GS3" s="416"/>
      <c r="GT3" s="416"/>
      <c r="GU3" s="416"/>
      <c r="GV3" s="416"/>
      <c r="GW3" s="416"/>
      <c r="GX3" s="416"/>
      <c r="GY3" s="416"/>
      <c r="GZ3" s="416"/>
      <c r="HA3" s="416"/>
      <c r="HB3" s="416"/>
      <c r="HC3" s="416"/>
      <c r="HD3" s="416"/>
      <c r="HE3" s="416"/>
      <c r="HF3" s="416"/>
      <c r="HG3" s="416"/>
      <c r="HH3" s="416"/>
      <c r="HI3" s="416"/>
      <c r="HJ3" s="416"/>
      <c r="HK3" s="416"/>
      <c r="HL3" s="416"/>
    </row>
    <row r="4" spans="1:220" s="3" customFormat="1">
      <c r="A4" s="417">
        <v>2020</v>
      </c>
      <c r="B4" s="409">
        <v>5</v>
      </c>
      <c r="C4" s="606">
        <v>5.67</v>
      </c>
      <c r="D4" s="410">
        <f>SUM(B4:C4)</f>
        <v>10.67</v>
      </c>
      <c r="E4" s="411">
        <f>ROUND((O4/B4), 0)</f>
        <v>12</v>
      </c>
      <c r="F4" s="411">
        <f>ROUND((O4/D4), 0)</f>
        <v>6</v>
      </c>
      <c r="G4" s="409">
        <v>5</v>
      </c>
      <c r="H4" s="606">
        <v>5.67</v>
      </c>
      <c r="I4" s="409">
        <v>12</v>
      </c>
      <c r="J4" s="409">
        <v>117</v>
      </c>
      <c r="K4" s="410">
        <f t="shared" ref="K4:K5" si="3">SUM(I4:J4)</f>
        <v>129</v>
      </c>
      <c r="L4" s="606">
        <v>42.32</v>
      </c>
      <c r="M4" s="411">
        <f>(I4+L4)</f>
        <v>54.32</v>
      </c>
      <c r="N4" s="409">
        <v>23</v>
      </c>
      <c r="O4" s="409">
        <v>60</v>
      </c>
      <c r="P4" s="413">
        <f t="shared" ref="P4:P5" si="4">M4/O4</f>
        <v>0.90533333333333332</v>
      </c>
      <c r="Q4" s="409">
        <v>45</v>
      </c>
      <c r="R4" s="409">
        <v>7</v>
      </c>
      <c r="S4" s="414">
        <v>660979.77</v>
      </c>
      <c r="T4" s="415">
        <f>SUM(U4:V4)</f>
        <v>660980</v>
      </c>
      <c r="U4" s="414">
        <v>660980</v>
      </c>
      <c r="V4" s="414">
        <v>0</v>
      </c>
      <c r="W4" s="335">
        <f t="shared" ref="W4:W5" si="5">V4/T4</f>
        <v>0</v>
      </c>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D4" s="416"/>
      <c r="BE4" s="416"/>
      <c r="BF4" s="416"/>
      <c r="BG4" s="416"/>
      <c r="BH4" s="416"/>
      <c r="BI4" s="416"/>
      <c r="BJ4" s="416"/>
      <c r="BK4" s="416"/>
      <c r="BL4" s="416"/>
      <c r="BM4" s="416"/>
      <c r="BN4" s="416"/>
      <c r="BO4" s="416"/>
      <c r="BP4" s="416"/>
      <c r="BQ4" s="416"/>
      <c r="BR4" s="416"/>
      <c r="BS4" s="416"/>
      <c r="BT4" s="416"/>
      <c r="BU4" s="416"/>
      <c r="BV4" s="416"/>
      <c r="BW4" s="416"/>
      <c r="BX4" s="416"/>
      <c r="BY4" s="416"/>
      <c r="BZ4" s="416"/>
      <c r="CA4" s="416"/>
      <c r="CB4" s="416"/>
      <c r="CC4" s="416"/>
      <c r="CD4" s="416"/>
      <c r="CE4" s="416"/>
      <c r="CF4" s="416"/>
      <c r="CG4" s="416"/>
      <c r="CH4" s="416"/>
      <c r="CI4" s="416"/>
      <c r="CJ4" s="416"/>
      <c r="CK4" s="416"/>
      <c r="CL4" s="416"/>
      <c r="CM4" s="416"/>
      <c r="CN4" s="416"/>
      <c r="CO4" s="416"/>
      <c r="CP4" s="416"/>
      <c r="CQ4" s="416"/>
      <c r="CR4" s="416"/>
      <c r="CS4" s="416"/>
      <c r="CT4" s="416"/>
      <c r="CU4" s="416"/>
      <c r="CV4" s="416"/>
      <c r="CW4" s="416"/>
      <c r="CX4" s="416"/>
      <c r="CY4" s="416"/>
      <c r="CZ4" s="416"/>
      <c r="DA4" s="416"/>
      <c r="DB4" s="416"/>
      <c r="DC4" s="416"/>
      <c r="DD4" s="416"/>
      <c r="DE4" s="416"/>
      <c r="DF4" s="416"/>
      <c r="DG4" s="416"/>
      <c r="DH4" s="416"/>
      <c r="DI4" s="416"/>
      <c r="DJ4" s="416"/>
      <c r="DK4" s="416"/>
      <c r="DL4" s="416"/>
      <c r="DM4" s="416"/>
      <c r="DN4" s="416"/>
      <c r="DO4" s="416"/>
      <c r="DP4" s="416"/>
      <c r="DQ4" s="416"/>
      <c r="DR4" s="416"/>
      <c r="DS4" s="416"/>
      <c r="DT4" s="416"/>
      <c r="DU4" s="416"/>
      <c r="DV4" s="416"/>
      <c r="DW4" s="416"/>
      <c r="DX4" s="416"/>
      <c r="DY4" s="416"/>
      <c r="DZ4" s="416"/>
      <c r="EA4" s="416"/>
      <c r="EB4" s="416"/>
      <c r="EC4" s="416"/>
      <c r="ED4" s="416"/>
      <c r="EE4" s="416"/>
      <c r="EF4" s="416"/>
      <c r="EG4" s="416"/>
      <c r="EH4" s="416"/>
      <c r="EI4" s="416"/>
      <c r="EJ4" s="416"/>
      <c r="EK4" s="416"/>
      <c r="EL4" s="416"/>
      <c r="EM4" s="416"/>
      <c r="EN4" s="416"/>
      <c r="EO4" s="416"/>
      <c r="EP4" s="416"/>
      <c r="EQ4" s="416"/>
      <c r="ER4" s="416"/>
      <c r="ES4" s="416"/>
      <c r="ET4" s="416"/>
      <c r="EU4" s="416"/>
      <c r="EV4" s="416"/>
      <c r="EW4" s="416"/>
      <c r="EX4" s="416"/>
      <c r="EY4" s="416"/>
      <c r="EZ4" s="416"/>
      <c r="FA4" s="416"/>
      <c r="FB4" s="416"/>
      <c r="FC4" s="416"/>
      <c r="FD4" s="416"/>
      <c r="FE4" s="416"/>
      <c r="FF4" s="416"/>
      <c r="FG4" s="416"/>
      <c r="FH4" s="416"/>
      <c r="FI4" s="416"/>
      <c r="FJ4" s="416"/>
      <c r="FK4" s="416"/>
      <c r="FL4" s="416"/>
      <c r="FM4" s="416"/>
      <c r="FN4" s="416"/>
      <c r="FO4" s="416"/>
      <c r="FP4" s="416"/>
      <c r="FQ4" s="416"/>
      <c r="FR4" s="416"/>
      <c r="FS4" s="416"/>
      <c r="FT4" s="416"/>
      <c r="FU4" s="416"/>
      <c r="FV4" s="416"/>
      <c r="FW4" s="416"/>
      <c r="FX4" s="416"/>
      <c r="FY4" s="416"/>
      <c r="FZ4" s="416"/>
      <c r="GA4" s="416"/>
      <c r="GB4" s="416"/>
      <c r="GC4" s="416"/>
      <c r="GD4" s="416"/>
      <c r="GE4" s="416"/>
      <c r="GF4" s="416"/>
      <c r="GG4" s="416"/>
      <c r="GH4" s="416"/>
      <c r="GI4" s="416"/>
      <c r="GJ4" s="416"/>
      <c r="GK4" s="416"/>
      <c r="GL4" s="416"/>
      <c r="GM4" s="416"/>
      <c r="GN4" s="416"/>
      <c r="GO4" s="416"/>
      <c r="GP4" s="416"/>
      <c r="GQ4" s="416"/>
      <c r="GR4" s="416"/>
      <c r="GS4" s="416"/>
      <c r="GT4" s="416"/>
      <c r="GU4" s="416"/>
      <c r="GV4" s="416"/>
      <c r="GW4" s="416"/>
      <c r="GX4" s="416"/>
      <c r="GY4" s="416"/>
      <c r="GZ4" s="416"/>
      <c r="HA4" s="416"/>
      <c r="HB4" s="416"/>
      <c r="HC4" s="416"/>
      <c r="HD4" s="416"/>
      <c r="HE4" s="416"/>
      <c r="HF4" s="416"/>
      <c r="HG4" s="416"/>
      <c r="HH4" s="416"/>
      <c r="HI4" s="416"/>
      <c r="HJ4" s="416"/>
      <c r="HK4" s="416"/>
      <c r="HL4" s="416"/>
    </row>
    <row r="5" spans="1:220" s="3" customFormat="1">
      <c r="A5" s="417">
        <v>2019</v>
      </c>
      <c r="B5" s="409">
        <v>5</v>
      </c>
      <c r="C5" s="409">
        <v>9.67</v>
      </c>
      <c r="D5" s="410">
        <f>SUM(B5:C5)</f>
        <v>14.67</v>
      </c>
      <c r="E5" s="411">
        <f>ROUND((O5/B5), 0)</f>
        <v>10</v>
      </c>
      <c r="F5" s="411">
        <f>ROUND((O5/D5), 0)</f>
        <v>3</v>
      </c>
      <c r="G5" s="409">
        <v>5</v>
      </c>
      <c r="H5" s="409">
        <v>9.67</v>
      </c>
      <c r="I5" s="409">
        <v>7</v>
      </c>
      <c r="J5" s="409">
        <v>76</v>
      </c>
      <c r="K5" s="410">
        <f t="shared" si="3"/>
        <v>83</v>
      </c>
      <c r="L5" s="409">
        <v>29.66</v>
      </c>
      <c r="M5" s="411">
        <f>(I5+L5)</f>
        <v>36.659999999999997</v>
      </c>
      <c r="N5" s="409">
        <v>20</v>
      </c>
      <c r="O5" s="409">
        <v>48</v>
      </c>
      <c r="P5" s="413">
        <f t="shared" si="4"/>
        <v>0.76374999999999993</v>
      </c>
      <c r="Q5" s="409">
        <v>0</v>
      </c>
      <c r="R5" s="409">
        <v>59</v>
      </c>
      <c r="S5" s="414">
        <v>638453</v>
      </c>
      <c r="T5" s="415">
        <v>639503</v>
      </c>
      <c r="U5" s="414">
        <v>638453</v>
      </c>
      <c r="V5" s="414">
        <v>1050</v>
      </c>
      <c r="W5" s="335">
        <f t="shared" si="5"/>
        <v>1.6419000379982579E-3</v>
      </c>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c r="BF5" s="416"/>
      <c r="BG5" s="416"/>
      <c r="BH5" s="416"/>
      <c r="BI5" s="416"/>
      <c r="BJ5" s="416"/>
      <c r="BK5" s="416"/>
      <c r="BL5" s="416"/>
      <c r="BM5" s="416"/>
      <c r="BN5" s="416"/>
      <c r="BO5" s="416"/>
      <c r="BP5" s="416"/>
      <c r="BQ5" s="416"/>
      <c r="BR5" s="416"/>
      <c r="BS5" s="416"/>
      <c r="BT5" s="416"/>
      <c r="BU5" s="416"/>
      <c r="BV5" s="416"/>
      <c r="BW5" s="416"/>
      <c r="BX5" s="416"/>
      <c r="BY5" s="416"/>
      <c r="BZ5" s="416"/>
      <c r="CA5" s="416"/>
      <c r="CB5" s="416"/>
      <c r="CC5" s="416"/>
      <c r="CD5" s="416"/>
      <c r="CE5" s="416"/>
      <c r="CF5" s="416"/>
      <c r="CG5" s="416"/>
      <c r="CH5" s="416"/>
      <c r="CI5" s="416"/>
      <c r="CJ5" s="416"/>
      <c r="CK5" s="416"/>
      <c r="CL5" s="416"/>
      <c r="CM5" s="416"/>
      <c r="CN5" s="416"/>
      <c r="CO5" s="416"/>
      <c r="CP5" s="416"/>
      <c r="CQ5" s="416"/>
      <c r="CR5" s="416"/>
      <c r="CS5" s="416"/>
      <c r="CT5" s="416"/>
      <c r="CU5" s="416"/>
      <c r="CV5" s="416"/>
      <c r="CW5" s="416"/>
      <c r="CX5" s="416"/>
      <c r="CY5" s="416"/>
      <c r="CZ5" s="416"/>
      <c r="DA5" s="416"/>
      <c r="DB5" s="416"/>
      <c r="DC5" s="416"/>
      <c r="DD5" s="416"/>
      <c r="DE5" s="416"/>
      <c r="DF5" s="416"/>
      <c r="DG5" s="416"/>
      <c r="DH5" s="416"/>
      <c r="DI5" s="416"/>
      <c r="DJ5" s="416"/>
      <c r="DK5" s="416"/>
      <c r="DL5" s="416"/>
      <c r="DM5" s="416"/>
      <c r="DN5" s="416"/>
      <c r="DO5" s="416"/>
      <c r="DP5" s="416"/>
      <c r="DQ5" s="416"/>
      <c r="DR5" s="416"/>
      <c r="DS5" s="416"/>
      <c r="DT5" s="416"/>
      <c r="DU5" s="416"/>
      <c r="DV5" s="416"/>
      <c r="DW5" s="416"/>
      <c r="DX5" s="416"/>
      <c r="DY5" s="416"/>
      <c r="DZ5" s="416"/>
      <c r="EA5" s="416"/>
      <c r="EB5" s="416"/>
      <c r="EC5" s="416"/>
      <c r="ED5" s="416"/>
      <c r="EE5" s="416"/>
      <c r="EF5" s="416"/>
      <c r="EG5" s="416"/>
      <c r="EH5" s="416"/>
      <c r="EI5" s="416"/>
      <c r="EJ5" s="416"/>
      <c r="EK5" s="416"/>
      <c r="EL5" s="416"/>
      <c r="EM5" s="416"/>
      <c r="EN5" s="416"/>
      <c r="EO5" s="416"/>
      <c r="EP5" s="416"/>
      <c r="EQ5" s="416"/>
      <c r="ER5" s="416"/>
      <c r="ES5" s="416"/>
      <c r="ET5" s="416"/>
      <c r="EU5" s="416"/>
      <c r="EV5" s="416"/>
      <c r="EW5" s="416"/>
      <c r="EX5" s="416"/>
      <c r="EY5" s="416"/>
      <c r="EZ5" s="416"/>
      <c r="FA5" s="416"/>
      <c r="FB5" s="416"/>
      <c r="FC5" s="416"/>
      <c r="FD5" s="416"/>
      <c r="FE5" s="416"/>
      <c r="FF5" s="416"/>
      <c r="FG5" s="416"/>
      <c r="FH5" s="416"/>
      <c r="FI5" s="416"/>
      <c r="FJ5" s="416"/>
      <c r="FK5" s="416"/>
      <c r="FL5" s="416"/>
      <c r="FM5" s="416"/>
      <c r="FN5" s="416"/>
      <c r="FO5" s="416"/>
      <c r="FP5" s="416"/>
      <c r="FQ5" s="416"/>
      <c r="FR5" s="416"/>
      <c r="FS5" s="416"/>
      <c r="FT5" s="416"/>
      <c r="FU5" s="416"/>
      <c r="FV5" s="416"/>
      <c r="FW5" s="416"/>
      <c r="FX5" s="416"/>
      <c r="FY5" s="416"/>
      <c r="FZ5" s="416"/>
      <c r="GA5" s="416"/>
      <c r="GB5" s="416"/>
      <c r="GC5" s="416"/>
      <c r="GD5" s="416"/>
      <c r="GE5" s="416"/>
      <c r="GF5" s="416"/>
      <c r="GG5" s="416"/>
      <c r="GH5" s="416"/>
      <c r="GI5" s="416"/>
      <c r="GJ5" s="416"/>
      <c r="GK5" s="416"/>
      <c r="GL5" s="416"/>
      <c r="GM5" s="416"/>
      <c r="GN5" s="416"/>
      <c r="GO5" s="416"/>
      <c r="GP5" s="416"/>
      <c r="GQ5" s="416"/>
      <c r="GR5" s="416"/>
      <c r="GS5" s="416"/>
      <c r="GT5" s="416"/>
      <c r="GU5" s="416"/>
      <c r="GV5" s="416"/>
      <c r="GW5" s="416"/>
      <c r="GX5" s="416"/>
      <c r="GY5" s="416"/>
      <c r="GZ5" s="416"/>
      <c r="HA5" s="416"/>
      <c r="HB5" s="416"/>
      <c r="HC5" s="416"/>
      <c r="HD5" s="416"/>
      <c r="HE5" s="416"/>
      <c r="HF5" s="416"/>
      <c r="HG5" s="416"/>
      <c r="HH5" s="416"/>
      <c r="HI5" s="416"/>
      <c r="HJ5" s="416"/>
      <c r="HK5" s="416"/>
      <c r="HL5" s="416"/>
    </row>
    <row r="6" spans="1:220" s="14" customFormat="1">
      <c r="A6" s="607"/>
      <c r="G6"/>
      <c r="H6"/>
    </row>
    <row r="7" spans="1:220" ht="15.75">
      <c r="A7" s="699" t="s">
        <v>224</v>
      </c>
      <c r="B7" s="700"/>
      <c r="C7" s="700"/>
      <c r="D7" s="700"/>
      <c r="E7" s="700"/>
      <c r="F7" s="700"/>
      <c r="G7" s="700"/>
      <c r="H7" s="700"/>
      <c r="I7" s="700"/>
      <c r="J7" s="700"/>
      <c r="K7" s="700"/>
      <c r="L7" s="700"/>
      <c r="M7" s="700"/>
      <c r="N7" s="700"/>
      <c r="O7" s="700"/>
      <c r="P7" s="700"/>
      <c r="Q7" s="700"/>
      <c r="R7" s="700"/>
    </row>
    <row r="8" spans="1:220" ht="15.75">
      <c r="A8" s="699" t="s">
        <v>225</v>
      </c>
      <c r="B8" s="700"/>
      <c r="C8" s="700"/>
      <c r="D8" s="700"/>
      <c r="E8" s="700"/>
      <c r="F8" s="700"/>
      <c r="G8" s="700"/>
      <c r="H8" s="700"/>
      <c r="I8" s="700"/>
      <c r="J8" s="700"/>
      <c r="K8" s="700"/>
      <c r="L8" s="700"/>
      <c r="M8" s="700"/>
      <c r="N8" s="700"/>
      <c r="O8" s="700"/>
      <c r="P8" s="700"/>
      <c r="Q8" s="700"/>
      <c r="R8" s="700"/>
    </row>
    <row r="9" spans="1:220" ht="15.75">
      <c r="A9" s="699" t="s">
        <v>226</v>
      </c>
      <c r="B9" s="700"/>
      <c r="C9" s="700"/>
      <c r="D9" s="700"/>
      <c r="E9" s="700"/>
      <c r="F9" s="700"/>
      <c r="G9" s="700"/>
      <c r="H9" s="700"/>
      <c r="I9" s="700"/>
      <c r="J9" s="700"/>
      <c r="K9" s="700"/>
      <c r="L9" s="700"/>
      <c r="M9" s="700"/>
      <c r="N9" s="700"/>
      <c r="O9" s="700"/>
      <c r="P9" s="700"/>
      <c r="Q9" s="700"/>
      <c r="R9" s="700"/>
    </row>
    <row r="10" spans="1:220" ht="15.75">
      <c r="A10" s="700" t="s">
        <v>227</v>
      </c>
      <c r="B10" s="700"/>
      <c r="C10" s="700"/>
      <c r="D10" s="700"/>
      <c r="E10" s="700"/>
      <c r="F10" s="700"/>
      <c r="G10" s="700"/>
      <c r="H10" s="700"/>
      <c r="I10" s="700"/>
      <c r="J10" s="700"/>
      <c r="K10" s="700"/>
      <c r="L10" s="700"/>
      <c r="M10" s="700"/>
      <c r="N10" s="700"/>
      <c r="O10" s="700"/>
      <c r="P10" s="700"/>
      <c r="Q10" s="700"/>
      <c r="R10" s="700"/>
    </row>
  </sheetData>
  <mergeCells count="4">
    <mergeCell ref="A7:R7"/>
    <mergeCell ref="A8:R8"/>
    <mergeCell ref="A9:R9"/>
    <mergeCell ref="A10:R1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HL27"/>
  <sheetViews>
    <sheetView workbookViewId="0">
      <selection activeCell="N5" sqref="N5"/>
    </sheetView>
  </sheetViews>
  <sheetFormatPr defaultColWidth="8.85546875" defaultRowHeight="15"/>
  <cols>
    <col min="1" max="1" width="9.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28515625" bestFit="1" customWidth="1"/>
    <col min="22" max="22" width="10.85546875" bestFit="1" customWidth="1"/>
    <col min="23" max="23" width="12.85546875" bestFit="1" customWidth="1"/>
    <col min="24" max="118" width="8.85546875" style="5"/>
  </cols>
  <sheetData>
    <row r="1" spans="1:220" s="8" customFormat="1" ht="18.75">
      <c r="A1" s="1" t="s">
        <v>15</v>
      </c>
      <c r="B1" s="2"/>
      <c r="C1" s="1"/>
      <c r="D1" s="1"/>
      <c r="E1" s="1"/>
      <c r="F1" s="1"/>
      <c r="G1" s="1"/>
      <c r="H1" s="1"/>
      <c r="I1" s="1"/>
      <c r="J1" s="1"/>
      <c r="K1" s="1"/>
      <c r="L1" s="1"/>
      <c r="M1" s="1"/>
      <c r="N1" s="1"/>
      <c r="O1" s="1"/>
      <c r="P1" s="1"/>
      <c r="Q1" s="1"/>
      <c r="R1" s="1"/>
      <c r="S1" s="1"/>
      <c r="T1" s="1"/>
      <c r="U1" s="1"/>
      <c r="V1" s="1"/>
      <c r="W1" s="13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row>
    <row r="2" spans="1:220" s="28"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122" t="s">
        <v>40</v>
      </c>
      <c r="W2" s="6" t="s">
        <v>41</v>
      </c>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row>
    <row r="3" spans="1:220">
      <c r="A3" s="417">
        <v>2021</v>
      </c>
      <c r="B3" s="428">
        <v>5</v>
      </c>
      <c r="C3" s="428">
        <v>1.72</v>
      </c>
      <c r="D3" s="437">
        <f>SUM(B3:C3)</f>
        <v>6.72</v>
      </c>
      <c r="E3" s="427">
        <f t="shared" ref="E3" si="0">ROUND((O3/B3), 0)</f>
        <v>8</v>
      </c>
      <c r="F3" s="427">
        <f t="shared" ref="F3" si="1">ROUND((O3/D3), 0)</f>
        <v>6</v>
      </c>
      <c r="G3" s="428">
        <v>5</v>
      </c>
      <c r="H3" s="428">
        <v>1.72</v>
      </c>
      <c r="I3" s="428">
        <v>31</v>
      </c>
      <c r="J3" s="428">
        <v>27</v>
      </c>
      <c r="K3" s="437">
        <f t="shared" ref="K3" si="2">SUM(I3:J3)</f>
        <v>58</v>
      </c>
      <c r="L3" s="428">
        <v>8.1</v>
      </c>
      <c r="M3" s="427">
        <f>(I3+L3)</f>
        <v>39.1</v>
      </c>
      <c r="N3" s="417" t="s">
        <v>79</v>
      </c>
      <c r="O3" s="428">
        <v>40.4</v>
      </c>
      <c r="P3" s="438">
        <f t="shared" ref="P3" si="3">M3/O3</f>
        <v>0.9678217821782179</v>
      </c>
      <c r="Q3" s="428">
        <v>11</v>
      </c>
      <c r="R3" s="428">
        <v>1</v>
      </c>
      <c r="S3" s="430">
        <v>1014735</v>
      </c>
      <c r="T3" s="431">
        <f t="shared" ref="T3" si="4">SUM(U3:V3)</f>
        <v>1014735</v>
      </c>
      <c r="U3" s="430">
        <v>1014735</v>
      </c>
      <c r="V3" s="570">
        <v>0</v>
      </c>
      <c r="W3" s="335">
        <f t="shared" ref="W3" si="5">V3/T3</f>
        <v>0</v>
      </c>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row>
    <row r="4" spans="1:220">
      <c r="A4" s="417">
        <v>2020</v>
      </c>
      <c r="B4" s="428">
        <v>5</v>
      </c>
      <c r="C4" s="428">
        <f>8*0.43</f>
        <v>3.44</v>
      </c>
      <c r="D4" s="437">
        <f>SUM(B4:C4)</f>
        <v>8.44</v>
      </c>
      <c r="E4" s="427">
        <f>ROUND((O4/B4), 0)</f>
        <v>8</v>
      </c>
      <c r="F4" s="427">
        <f>ROUND((O4/D4), 0)</f>
        <v>4</v>
      </c>
      <c r="G4" s="428">
        <v>5</v>
      </c>
      <c r="H4" s="428">
        <f>8*0.43</f>
        <v>3.44</v>
      </c>
      <c r="I4" s="428">
        <v>30</v>
      </c>
      <c r="J4" s="428">
        <v>21</v>
      </c>
      <c r="K4" s="437">
        <f t="shared" ref="K4" si="6">SUM(I4:J4)</f>
        <v>51</v>
      </c>
      <c r="L4" s="428">
        <v>6.3</v>
      </c>
      <c r="M4" s="427">
        <f>(I4+L4)</f>
        <v>36.299999999999997</v>
      </c>
      <c r="N4" s="417" t="s">
        <v>79</v>
      </c>
      <c r="O4" s="428">
        <v>37.6</v>
      </c>
      <c r="P4" s="438">
        <f t="shared" ref="P4" si="7">M4/O4</f>
        <v>0.96542553191489355</v>
      </c>
      <c r="Q4" s="428">
        <v>20</v>
      </c>
      <c r="R4" s="428">
        <v>3</v>
      </c>
      <c r="S4" s="430">
        <v>980493</v>
      </c>
      <c r="T4" s="431">
        <v>980493</v>
      </c>
      <c r="U4" s="430">
        <v>980493</v>
      </c>
      <c r="V4" s="570">
        <v>0</v>
      </c>
      <c r="W4" s="335">
        <f t="shared" ref="W4" si="8">V4/T4</f>
        <v>0</v>
      </c>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row>
    <row r="5" spans="1:220" s="441" customFormat="1">
      <c r="A5" s="417">
        <v>2019</v>
      </c>
      <c r="B5" s="560">
        <v>5</v>
      </c>
      <c r="C5" s="560">
        <v>1.72</v>
      </c>
      <c r="D5" s="437">
        <f>SUM(B5:C5)</f>
        <v>6.72</v>
      </c>
      <c r="E5" s="427">
        <f>ROUND((O5/B5), 0)</f>
        <v>5</v>
      </c>
      <c r="F5" s="427">
        <f>ROUND((O5/D5), 0)</f>
        <v>4</v>
      </c>
      <c r="G5" s="560">
        <v>5</v>
      </c>
      <c r="H5" s="560">
        <v>1.72</v>
      </c>
      <c r="I5" s="560">
        <v>14</v>
      </c>
      <c r="J5" s="560">
        <v>25</v>
      </c>
      <c r="K5" s="437">
        <f t="shared" ref="K5" si="9">SUM(I5:J5)</f>
        <v>39</v>
      </c>
      <c r="L5" s="560">
        <v>7.5</v>
      </c>
      <c r="M5" s="427">
        <f>(I5+L5)</f>
        <v>21.5</v>
      </c>
      <c r="N5" s="616" t="s">
        <v>79</v>
      </c>
      <c r="O5" s="560">
        <v>26.1</v>
      </c>
      <c r="P5" s="438">
        <f t="shared" ref="P5" si="10">M5/O5</f>
        <v>0.82375478927203061</v>
      </c>
      <c r="Q5" s="560">
        <v>15</v>
      </c>
      <c r="R5" s="560">
        <v>0</v>
      </c>
      <c r="S5" s="561">
        <v>775150</v>
      </c>
      <c r="T5" s="439">
        <f t="shared" ref="T5" si="11">SUM(U5:V5)</f>
        <v>775150</v>
      </c>
      <c r="U5" s="561">
        <v>775150</v>
      </c>
      <c r="V5" s="571">
        <v>0</v>
      </c>
      <c r="W5" s="335">
        <f t="shared" ref="W5" si="12">V5/T5</f>
        <v>0</v>
      </c>
    </row>
    <row r="6" spans="1:220" s="17" customFormat="1">
      <c r="A6" s="33">
        <v>2018</v>
      </c>
      <c r="B6" s="20">
        <v>5</v>
      </c>
      <c r="C6" s="20">
        <v>0.86</v>
      </c>
      <c r="D6" s="29">
        <f>SUM(B6:C6)</f>
        <v>5.86</v>
      </c>
      <c r="E6" s="172">
        <f>ROUND((O6/B6), 0)</f>
        <v>6</v>
      </c>
      <c r="F6" s="172">
        <f>ROUND((O6/D6), 0)</f>
        <v>5</v>
      </c>
      <c r="G6" s="20">
        <v>5</v>
      </c>
      <c r="H6" s="20">
        <v>0.86</v>
      </c>
      <c r="I6" s="20">
        <v>24</v>
      </c>
      <c r="J6" s="20">
        <v>20</v>
      </c>
      <c r="K6" s="29">
        <f t="shared" ref="K6" si="13">SUM(I6:J6)</f>
        <v>44</v>
      </c>
      <c r="L6" s="20">
        <v>6</v>
      </c>
      <c r="M6" s="172">
        <f>(I6+L6)</f>
        <v>30</v>
      </c>
      <c r="N6" s="397" t="s">
        <v>79</v>
      </c>
      <c r="O6" s="20">
        <v>30.3</v>
      </c>
      <c r="P6" s="183">
        <f>M6/O6</f>
        <v>0.99009900990099009</v>
      </c>
      <c r="Q6" s="20">
        <v>20</v>
      </c>
      <c r="R6" s="20">
        <v>0</v>
      </c>
      <c r="S6" s="24">
        <v>861285</v>
      </c>
      <c r="T6" s="30">
        <f>SUM(U6:V6)</f>
        <v>861285</v>
      </c>
      <c r="U6" s="24">
        <f>S6-V6</f>
        <v>649081</v>
      </c>
      <c r="V6" s="24">
        <v>212204</v>
      </c>
      <c r="W6" s="185">
        <f>V6/T6</f>
        <v>0.24638069860731349</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5</v>
      </c>
      <c r="C7" s="20">
        <f>4*0.43</f>
        <v>1.72</v>
      </c>
      <c r="D7" s="34">
        <f>SUM(B7:C7)</f>
        <v>6.72</v>
      </c>
      <c r="E7" s="34">
        <f>ROUND((O7/B7), 0)</f>
        <v>5</v>
      </c>
      <c r="F7" s="34">
        <f>ROUND((O7/D7), 0)</f>
        <v>3</v>
      </c>
      <c r="G7" s="20">
        <v>5</v>
      </c>
      <c r="H7" s="20">
        <f>4*0.43</f>
        <v>1.72</v>
      </c>
      <c r="I7" s="20">
        <v>17</v>
      </c>
      <c r="J7" s="20">
        <v>22</v>
      </c>
      <c r="K7" s="34">
        <f>SUM(I7:J7)</f>
        <v>39</v>
      </c>
      <c r="L7" s="20">
        <v>6.6</v>
      </c>
      <c r="M7" s="36">
        <f>(I7+L7)</f>
        <v>23.6</v>
      </c>
      <c r="N7" s="18" t="s">
        <v>79</v>
      </c>
      <c r="O7" s="344">
        <v>23.3</v>
      </c>
      <c r="P7" s="183">
        <f t="shared" ref="P7:P15" si="14">M7/O7</f>
        <v>1.0128755364806867</v>
      </c>
      <c r="Q7" s="20">
        <v>21</v>
      </c>
      <c r="R7" s="20">
        <v>0</v>
      </c>
      <c r="S7" s="300">
        <v>686069</v>
      </c>
      <c r="T7" s="35">
        <f>SUM(U7:V7)</f>
        <v>686069</v>
      </c>
      <c r="U7" s="341">
        <v>545971</v>
      </c>
      <c r="V7" s="350">
        <v>140098</v>
      </c>
      <c r="W7" s="185">
        <f t="shared" ref="W7:W17" si="15">V7/T7</f>
        <v>0.20420395033152641</v>
      </c>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row>
    <row r="8" spans="1:220" s="63" customFormat="1">
      <c r="A8" s="95">
        <v>2016</v>
      </c>
      <c r="B8" s="63">
        <v>4</v>
      </c>
      <c r="C8" s="63">
        <v>1.29</v>
      </c>
      <c r="D8" s="108">
        <f>B8+C8</f>
        <v>5.29</v>
      </c>
      <c r="E8" s="109">
        <f>ROUND((O8/B8), 0)</f>
        <v>10</v>
      </c>
      <c r="F8" s="109">
        <f>ROUND((O8/D8), 0)</f>
        <v>7</v>
      </c>
      <c r="G8" s="63">
        <v>4</v>
      </c>
      <c r="H8" s="63">
        <v>1.29</v>
      </c>
      <c r="I8" s="63">
        <v>34</v>
      </c>
      <c r="J8" s="63">
        <v>17</v>
      </c>
      <c r="K8" s="108">
        <f>I8+J8</f>
        <v>51</v>
      </c>
      <c r="L8" s="63">
        <v>5.0999999999999996</v>
      </c>
      <c r="M8" s="109">
        <f>I8+L8</f>
        <v>39.1</v>
      </c>
      <c r="N8" s="94" t="s">
        <v>79</v>
      </c>
      <c r="O8" s="63">
        <v>39.4</v>
      </c>
      <c r="P8" s="183">
        <f t="shared" si="14"/>
        <v>0.99238578680203049</v>
      </c>
      <c r="Q8" s="63">
        <v>21</v>
      </c>
      <c r="R8" s="63">
        <v>2</v>
      </c>
      <c r="S8" s="64">
        <v>618387</v>
      </c>
      <c r="T8" s="110">
        <f>SUM(U8:V8)</f>
        <v>618387</v>
      </c>
      <c r="U8" s="64">
        <v>486308</v>
      </c>
      <c r="V8" s="129">
        <v>132079</v>
      </c>
      <c r="W8" s="185">
        <f t="shared" si="15"/>
        <v>0.21358631407193229</v>
      </c>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row>
    <row r="9" spans="1:220" s="63" customFormat="1">
      <c r="A9" s="95">
        <v>2015</v>
      </c>
      <c r="B9" s="63">
        <v>4</v>
      </c>
      <c r="C9" s="63">
        <v>0.86</v>
      </c>
      <c r="D9" s="87">
        <v>4.8600000000000003</v>
      </c>
      <c r="E9" s="87">
        <v>9.25</v>
      </c>
      <c r="F9" s="87">
        <v>7.6</v>
      </c>
      <c r="G9" s="111"/>
      <c r="H9" s="111"/>
      <c r="I9" s="63">
        <v>31</v>
      </c>
      <c r="J9" s="63">
        <v>18</v>
      </c>
      <c r="K9" s="87">
        <v>49</v>
      </c>
      <c r="L9" s="63">
        <v>6</v>
      </c>
      <c r="M9" s="87">
        <v>37</v>
      </c>
      <c r="N9" s="94" t="s">
        <v>79</v>
      </c>
      <c r="O9" s="63">
        <v>37</v>
      </c>
      <c r="P9" s="183">
        <f t="shared" si="14"/>
        <v>1</v>
      </c>
      <c r="Q9" s="63">
        <v>12</v>
      </c>
      <c r="R9" s="63">
        <v>2</v>
      </c>
      <c r="S9" s="69">
        <v>755172</v>
      </c>
      <c r="T9" s="88">
        <v>755172</v>
      </c>
      <c r="U9" s="69">
        <v>522452</v>
      </c>
      <c r="V9" s="130">
        <v>232720</v>
      </c>
      <c r="W9" s="185">
        <f t="shared" si="15"/>
        <v>0.30816820538897099</v>
      </c>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row>
    <row r="10" spans="1:220" s="71" customFormat="1">
      <c r="A10" s="90">
        <v>2014</v>
      </c>
      <c r="B10" s="361">
        <v>6</v>
      </c>
      <c r="C10" s="361">
        <v>1.2</v>
      </c>
      <c r="D10" s="108">
        <f>B10+C10</f>
        <v>7.2</v>
      </c>
      <c r="E10" s="109">
        <f>ROUND((O10/B10), 0)</f>
        <v>5</v>
      </c>
      <c r="F10" s="109">
        <f>ROUND((O10/D10), 0)</f>
        <v>4</v>
      </c>
      <c r="G10" s="111"/>
      <c r="H10" s="111"/>
      <c r="I10" s="361">
        <v>15</v>
      </c>
      <c r="J10" s="361">
        <v>40</v>
      </c>
      <c r="K10" s="108">
        <f>I10+J10</f>
        <v>55</v>
      </c>
      <c r="L10" s="361">
        <v>12</v>
      </c>
      <c r="M10" s="109">
        <f>I10+L10</f>
        <v>27</v>
      </c>
      <c r="N10" s="94" t="s">
        <v>79</v>
      </c>
      <c r="O10" s="361">
        <v>29</v>
      </c>
      <c r="P10" s="183">
        <f t="shared" si="14"/>
        <v>0.93103448275862066</v>
      </c>
      <c r="Q10" s="361">
        <v>22</v>
      </c>
      <c r="R10" s="361">
        <v>0</v>
      </c>
      <c r="S10" s="112">
        <v>996970</v>
      </c>
      <c r="T10" s="110">
        <f>SUM(U10:V10)</f>
        <v>996970</v>
      </c>
      <c r="U10" s="112">
        <v>767935</v>
      </c>
      <c r="V10" s="131">
        <v>229035</v>
      </c>
      <c r="W10" s="185">
        <f t="shared" si="15"/>
        <v>0.22973108518811999</v>
      </c>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row>
    <row r="11" spans="1:220" s="71" customFormat="1">
      <c r="A11" s="277">
        <v>2013</v>
      </c>
      <c r="B11" s="114">
        <v>6</v>
      </c>
      <c r="C11" s="114">
        <v>1.2</v>
      </c>
      <c r="D11" s="115">
        <v>7.2</v>
      </c>
      <c r="E11" s="116">
        <v>5</v>
      </c>
      <c r="F11" s="116">
        <v>4</v>
      </c>
      <c r="G11" s="113"/>
      <c r="H11" s="113"/>
      <c r="I11" s="361">
        <v>15</v>
      </c>
      <c r="J11" s="361">
        <v>40</v>
      </c>
      <c r="K11" s="115">
        <v>55</v>
      </c>
      <c r="L11" s="361">
        <v>12</v>
      </c>
      <c r="M11" s="116">
        <v>27</v>
      </c>
      <c r="N11" s="94" t="s">
        <v>79</v>
      </c>
      <c r="O11" s="361">
        <v>28.3</v>
      </c>
      <c r="P11" s="183">
        <f t="shared" si="14"/>
        <v>0.95406360424028269</v>
      </c>
      <c r="Q11" s="361">
        <v>22</v>
      </c>
      <c r="R11" s="114">
        <v>1</v>
      </c>
      <c r="S11" s="112">
        <v>620659</v>
      </c>
      <c r="T11" s="110">
        <v>620659</v>
      </c>
      <c r="U11" s="112">
        <v>325405</v>
      </c>
      <c r="V11" s="131">
        <v>295254</v>
      </c>
      <c r="W11" s="185">
        <f t="shared" si="15"/>
        <v>0.47571049481277161</v>
      </c>
      <c r="X11" s="127"/>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row>
    <row r="12" spans="1:220" s="71" customFormat="1">
      <c r="A12" s="90">
        <v>2012</v>
      </c>
      <c r="B12" s="361">
        <v>5</v>
      </c>
      <c r="C12" s="361">
        <v>1</v>
      </c>
      <c r="D12" s="108">
        <f>B12+C12</f>
        <v>6</v>
      </c>
      <c r="E12" s="109">
        <f t="shared" ref="E12:E17" si="16">ROUND((O12/B12), 0)</f>
        <v>8</v>
      </c>
      <c r="F12" s="109">
        <f t="shared" ref="F12:F17" si="17">ROUND((O12/D12), 0)</f>
        <v>7</v>
      </c>
      <c r="G12" s="113"/>
      <c r="H12" s="113"/>
      <c r="I12" s="361">
        <v>0</v>
      </c>
      <c r="J12" s="361">
        <v>0</v>
      </c>
      <c r="K12" s="108">
        <f>I12+J12</f>
        <v>0</v>
      </c>
      <c r="L12" s="361">
        <v>0</v>
      </c>
      <c r="M12" s="109">
        <f>I12+L12</f>
        <v>0</v>
      </c>
      <c r="N12" s="94" t="s">
        <v>79</v>
      </c>
      <c r="O12" s="361">
        <v>40.75</v>
      </c>
      <c r="P12" s="183">
        <f t="shared" si="14"/>
        <v>0</v>
      </c>
      <c r="Q12" s="361">
        <v>0</v>
      </c>
      <c r="R12" s="361">
        <v>17</v>
      </c>
      <c r="S12" s="112">
        <v>782913</v>
      </c>
      <c r="T12" s="110">
        <f>SUM(U12:V12)</f>
        <v>782953</v>
      </c>
      <c r="U12" s="112">
        <v>782953</v>
      </c>
      <c r="V12" s="131">
        <v>0</v>
      </c>
      <c r="W12" s="185">
        <f t="shared" si="15"/>
        <v>0</v>
      </c>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row>
    <row r="13" spans="1:220" s="71" customFormat="1">
      <c r="A13" s="90">
        <v>2011</v>
      </c>
      <c r="B13" s="361">
        <v>4.5</v>
      </c>
      <c r="C13" s="361">
        <v>1</v>
      </c>
      <c r="D13" s="108">
        <f>SUM(B13:C13)</f>
        <v>5.5</v>
      </c>
      <c r="E13" s="109">
        <f t="shared" si="16"/>
        <v>9</v>
      </c>
      <c r="F13" s="109">
        <f t="shared" si="17"/>
        <v>8</v>
      </c>
      <c r="G13" s="113"/>
      <c r="H13" s="113"/>
      <c r="I13" s="361">
        <v>30</v>
      </c>
      <c r="J13" s="361">
        <v>32</v>
      </c>
      <c r="K13" s="108">
        <f>SUM(I13:J13)</f>
        <v>62</v>
      </c>
      <c r="L13" s="361">
        <v>11</v>
      </c>
      <c r="M13" s="109">
        <f>(I13+L13)</f>
        <v>41</v>
      </c>
      <c r="N13" s="94" t="s">
        <v>79</v>
      </c>
      <c r="O13" s="361">
        <v>41.25</v>
      </c>
      <c r="P13" s="183">
        <f t="shared" si="14"/>
        <v>0.9939393939393939</v>
      </c>
      <c r="Q13" s="361">
        <v>12</v>
      </c>
      <c r="R13" s="361">
        <v>0</v>
      </c>
      <c r="S13" s="112">
        <v>581565</v>
      </c>
      <c r="T13" s="110">
        <f>SUM(U13:V13)</f>
        <v>641087</v>
      </c>
      <c r="U13" s="112">
        <v>641087</v>
      </c>
      <c r="V13" s="131">
        <v>0</v>
      </c>
      <c r="W13" s="185">
        <f t="shared" si="15"/>
        <v>0</v>
      </c>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row>
    <row r="14" spans="1:220" s="71" customFormat="1">
      <c r="A14" s="90">
        <v>2010</v>
      </c>
      <c r="B14" s="361">
        <v>6</v>
      </c>
      <c r="C14" s="361">
        <v>0.25</v>
      </c>
      <c r="D14" s="108">
        <f>SUM(B14:C14)</f>
        <v>6.25</v>
      </c>
      <c r="E14" s="109">
        <f t="shared" si="16"/>
        <v>7</v>
      </c>
      <c r="F14" s="109">
        <f t="shared" si="17"/>
        <v>7</v>
      </c>
      <c r="G14" s="113"/>
      <c r="H14" s="113"/>
      <c r="I14" s="361">
        <v>30</v>
      </c>
      <c r="J14" s="361">
        <v>30</v>
      </c>
      <c r="K14" s="108">
        <f>SUM(I14:J14)</f>
        <v>60</v>
      </c>
      <c r="L14" s="361">
        <v>11</v>
      </c>
      <c r="M14" s="109">
        <f>(I14+L14)</f>
        <v>41</v>
      </c>
      <c r="N14" s="94" t="s">
        <v>79</v>
      </c>
      <c r="O14" s="361">
        <v>41.25</v>
      </c>
      <c r="P14" s="183">
        <f t="shared" si="14"/>
        <v>0.9939393939393939</v>
      </c>
      <c r="Q14" s="361">
        <v>0</v>
      </c>
      <c r="R14" s="361">
        <v>0</v>
      </c>
      <c r="S14" s="112">
        <v>651886.30000000005</v>
      </c>
      <c r="T14" s="110">
        <f>SUM(U14:V14)</f>
        <v>651886</v>
      </c>
      <c r="U14" s="112">
        <v>651886</v>
      </c>
      <c r="V14" s="131">
        <v>0</v>
      </c>
      <c r="W14" s="185">
        <f t="shared" si="15"/>
        <v>0</v>
      </c>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row>
    <row r="15" spans="1:220" s="71" customFormat="1">
      <c r="A15" s="90">
        <v>2009</v>
      </c>
      <c r="B15" s="361">
        <v>5</v>
      </c>
      <c r="C15" s="361">
        <v>0.5</v>
      </c>
      <c r="D15" s="108">
        <f>SUM(B15:C15)</f>
        <v>5.5</v>
      </c>
      <c r="E15" s="109">
        <f t="shared" si="16"/>
        <v>5</v>
      </c>
      <c r="F15" s="109">
        <f t="shared" si="17"/>
        <v>5</v>
      </c>
      <c r="G15" s="113"/>
      <c r="H15" s="113"/>
      <c r="I15" s="361">
        <v>16</v>
      </c>
      <c r="J15" s="361">
        <v>30</v>
      </c>
      <c r="K15" s="108">
        <f>SUM(I15:J15)</f>
        <v>46</v>
      </c>
      <c r="L15" s="361">
        <v>9.1</v>
      </c>
      <c r="M15" s="109">
        <f>(I15+L15)</f>
        <v>25.1</v>
      </c>
      <c r="N15" s="94" t="s">
        <v>79</v>
      </c>
      <c r="O15" s="361">
        <v>25.1</v>
      </c>
      <c r="P15" s="183">
        <f t="shared" si="14"/>
        <v>1</v>
      </c>
      <c r="Q15" s="361">
        <v>0</v>
      </c>
      <c r="R15" s="361">
        <v>0</v>
      </c>
      <c r="S15" s="112">
        <v>256937</v>
      </c>
      <c r="T15" s="110">
        <f>SUM(U15:V15)</f>
        <v>256937</v>
      </c>
      <c r="U15" s="112">
        <v>256937</v>
      </c>
      <c r="V15" s="131">
        <v>0</v>
      </c>
      <c r="W15" s="185">
        <f t="shared" si="15"/>
        <v>0</v>
      </c>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row>
    <row r="16" spans="1:220" s="71" customFormat="1">
      <c r="A16" s="90">
        <v>2008</v>
      </c>
      <c r="B16" s="361">
        <v>3</v>
      </c>
      <c r="C16" s="361">
        <v>20</v>
      </c>
      <c r="D16" s="108">
        <f>SUM(B16:C16)</f>
        <v>23</v>
      </c>
      <c r="E16" s="109">
        <f t="shared" si="16"/>
        <v>0</v>
      </c>
      <c r="F16" s="109">
        <f t="shared" si="17"/>
        <v>0</v>
      </c>
      <c r="G16" s="113"/>
      <c r="H16" s="113"/>
      <c r="I16" s="361">
        <v>0</v>
      </c>
      <c r="J16" s="361">
        <v>0</v>
      </c>
      <c r="K16" s="108">
        <f>SUM(I16:J16)</f>
        <v>0</v>
      </c>
      <c r="L16" s="361">
        <v>0</v>
      </c>
      <c r="M16" s="109">
        <f>(I16+L16)</f>
        <v>0</v>
      </c>
      <c r="N16" s="94" t="s">
        <v>79</v>
      </c>
      <c r="O16" s="361">
        <v>0</v>
      </c>
      <c r="P16" s="84" t="s">
        <v>79</v>
      </c>
      <c r="Q16" s="361">
        <v>0</v>
      </c>
      <c r="R16" s="361">
        <v>0</v>
      </c>
      <c r="S16" s="112">
        <v>286217</v>
      </c>
      <c r="T16" s="110">
        <f>SUM(U16:V16)</f>
        <v>286217</v>
      </c>
      <c r="U16" s="112">
        <v>276217</v>
      </c>
      <c r="V16" s="131">
        <v>10000</v>
      </c>
      <c r="W16" s="185">
        <f t="shared" si="15"/>
        <v>3.4938525664094028E-2</v>
      </c>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row>
    <row r="17" spans="1:118" s="121" customFormat="1">
      <c r="A17" s="95">
        <v>2007</v>
      </c>
      <c r="B17" s="356">
        <v>1</v>
      </c>
      <c r="C17" s="356">
        <v>10</v>
      </c>
      <c r="D17" s="117">
        <f>SUM(B17:C17)</f>
        <v>11</v>
      </c>
      <c r="E17" s="118">
        <f t="shared" si="16"/>
        <v>0</v>
      </c>
      <c r="F17" s="118">
        <f t="shared" si="17"/>
        <v>0</v>
      </c>
      <c r="G17" s="113"/>
      <c r="H17" s="113"/>
      <c r="I17" s="356">
        <v>0</v>
      </c>
      <c r="J17" s="356">
        <v>0</v>
      </c>
      <c r="K17" s="117">
        <f>SUM(I17:J17)</f>
        <v>0</v>
      </c>
      <c r="L17" s="356">
        <v>0</v>
      </c>
      <c r="M17" s="118">
        <f>(I17+L17)</f>
        <v>0</v>
      </c>
      <c r="N17" s="94" t="s">
        <v>79</v>
      </c>
      <c r="O17" s="356">
        <v>0</v>
      </c>
      <c r="P17" s="154" t="s">
        <v>79</v>
      </c>
      <c r="Q17" s="356">
        <v>0</v>
      </c>
      <c r="R17" s="356">
        <v>0</v>
      </c>
      <c r="S17" s="119">
        <v>250557.34</v>
      </c>
      <c r="T17" s="120">
        <f>SUM(U17,V17)</f>
        <v>250557.34</v>
      </c>
      <c r="U17" s="100">
        <v>64932.34</v>
      </c>
      <c r="V17" s="132">
        <v>185625</v>
      </c>
      <c r="W17" s="185">
        <f t="shared" si="15"/>
        <v>0.74084838225054594</v>
      </c>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row>
    <row r="18" spans="1:118" s="14" customFormat="1">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row>
    <row r="19" spans="1:118" s="14" customFormat="1">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row>
    <row r="20" spans="1:118" s="14" customFormat="1">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row>
    <row r="21" spans="1:118" s="14" customFormat="1">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row>
    <row r="22" spans="1:118" s="14" customFormat="1">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row>
    <row r="23" spans="1:118" s="14" customFormat="1">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row>
    <row r="24" spans="1:118" s="14" customFormat="1">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row>
    <row r="25" spans="1:118" s="14" customFormat="1">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row>
    <row r="26" spans="1:118" s="14" customFormat="1">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row>
    <row r="27" spans="1:118" s="14" customFormat="1">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row>
  </sheetData>
  <printOptions headings="1" gridLines="1"/>
  <pageMargins left="0.5" right="0.5" top="0.5" bottom="0.5" header="0" footer="0"/>
  <pageSetup paperSize="5" scale="65"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1002"/>
  <sheetViews>
    <sheetView workbookViewId="0">
      <selection activeCell="G31" sqref="G31"/>
    </sheetView>
  </sheetViews>
  <sheetFormatPr defaultColWidth="14.42578125" defaultRowHeight="15" customHeight="1"/>
  <cols>
    <col min="1" max="1" width="9.28515625" style="42" customWidth="1"/>
    <col min="2" max="2" width="8.7109375" style="42" customWidth="1"/>
    <col min="3" max="3" width="8.42578125" style="42" customWidth="1"/>
    <col min="4" max="4" width="9.28515625" style="42" customWidth="1"/>
    <col min="5" max="5" width="12.28515625" style="42" customWidth="1"/>
    <col min="6" max="6" width="11.42578125" style="42" customWidth="1"/>
    <col min="7" max="8" width="12.140625" style="42" customWidth="1"/>
    <col min="9" max="9" width="8.85546875" style="42" customWidth="1"/>
    <col min="10" max="11" width="11.85546875" style="42" customWidth="1"/>
    <col min="12" max="12" width="12.28515625" style="42" customWidth="1"/>
    <col min="13" max="13" width="13.140625" style="42" customWidth="1"/>
    <col min="14" max="14" width="11.42578125" style="42" customWidth="1"/>
    <col min="15" max="15" width="13.42578125" style="42" customWidth="1"/>
    <col min="16" max="17" width="12.42578125" style="42" customWidth="1"/>
    <col min="18" max="18" width="9" style="42" customWidth="1"/>
    <col min="19" max="20" width="11.85546875" style="42" customWidth="1"/>
    <col min="21" max="21" width="10.42578125" style="42" customWidth="1"/>
    <col min="22" max="22" width="10.85546875" style="42" customWidth="1"/>
    <col min="23" max="23" width="12.85546875" style="42" customWidth="1"/>
    <col min="24" max="43" width="8.85546875" style="189" customWidth="1"/>
    <col min="44" max="16384" width="14.42578125" style="42"/>
  </cols>
  <sheetData>
    <row r="1" spans="1:43" ht="18.75">
      <c r="A1" s="362" t="s">
        <v>56</v>
      </c>
      <c r="B1" s="363"/>
      <c r="C1" s="362"/>
      <c r="D1" s="362"/>
      <c r="E1" s="362"/>
      <c r="F1" s="362"/>
      <c r="G1" s="362"/>
      <c r="H1" s="362"/>
      <c r="I1" s="362"/>
      <c r="J1" s="362"/>
      <c r="K1" s="362"/>
      <c r="L1" s="362"/>
      <c r="M1" s="362"/>
      <c r="N1" s="362"/>
      <c r="O1" s="362"/>
      <c r="P1" s="362"/>
      <c r="Q1" s="362"/>
      <c r="R1" s="362"/>
      <c r="S1" s="362"/>
      <c r="T1" s="362"/>
      <c r="U1" s="362"/>
      <c r="V1" s="362"/>
      <c r="W1" s="362"/>
      <c r="X1" s="386"/>
      <c r="Y1" s="386"/>
      <c r="Z1" s="386"/>
      <c r="AA1" s="386"/>
      <c r="AB1" s="386"/>
      <c r="AC1" s="386"/>
      <c r="AD1" s="386"/>
      <c r="AE1" s="386"/>
      <c r="AF1" s="386"/>
      <c r="AG1" s="386"/>
      <c r="AH1" s="386"/>
      <c r="AI1" s="386"/>
      <c r="AJ1" s="386"/>
      <c r="AK1" s="386"/>
      <c r="AL1" s="386"/>
      <c r="AM1" s="386"/>
      <c r="AN1" s="386"/>
      <c r="AO1" s="386"/>
      <c r="AP1" s="386"/>
      <c r="AQ1" s="386"/>
    </row>
    <row r="2" spans="1:43" ht="60">
      <c r="A2" s="43" t="s">
        <v>42</v>
      </c>
      <c r="B2" s="43" t="s">
        <v>25</v>
      </c>
      <c r="C2" s="43" t="s">
        <v>28</v>
      </c>
      <c r="D2" s="43" t="s">
        <v>29</v>
      </c>
      <c r="E2" s="43" t="s">
        <v>108</v>
      </c>
      <c r="F2" s="43" t="s">
        <v>30</v>
      </c>
      <c r="G2" s="43" t="s">
        <v>109</v>
      </c>
      <c r="H2" s="43" t="s">
        <v>110</v>
      </c>
      <c r="I2" s="43" t="s">
        <v>26</v>
      </c>
      <c r="J2" s="43" t="s">
        <v>31</v>
      </c>
      <c r="K2" s="43" t="s">
        <v>32</v>
      </c>
      <c r="L2" s="43" t="s">
        <v>33</v>
      </c>
      <c r="M2" s="43" t="s">
        <v>34</v>
      </c>
      <c r="N2" s="43" t="s">
        <v>35</v>
      </c>
      <c r="O2" s="43" t="s">
        <v>43</v>
      </c>
      <c r="P2" s="43" t="s">
        <v>36</v>
      </c>
      <c r="Q2" s="43" t="s">
        <v>44</v>
      </c>
      <c r="R2" s="43" t="s">
        <v>37</v>
      </c>
      <c r="S2" s="43" t="s">
        <v>38</v>
      </c>
      <c r="T2" s="43" t="s">
        <v>39</v>
      </c>
      <c r="U2" s="43" t="s">
        <v>27</v>
      </c>
      <c r="V2" s="43" t="s">
        <v>40</v>
      </c>
      <c r="W2" s="43" t="s">
        <v>41</v>
      </c>
      <c r="X2" s="387"/>
      <c r="Y2" s="387"/>
      <c r="Z2" s="387"/>
      <c r="AA2" s="387"/>
      <c r="AB2" s="387"/>
      <c r="AC2" s="387"/>
      <c r="AD2" s="387"/>
      <c r="AE2" s="387"/>
      <c r="AF2" s="387"/>
      <c r="AG2" s="387"/>
      <c r="AH2" s="387"/>
      <c r="AI2" s="387"/>
      <c r="AJ2" s="387"/>
      <c r="AK2" s="387"/>
      <c r="AL2" s="387"/>
      <c r="AM2" s="387"/>
      <c r="AN2" s="387"/>
      <c r="AO2" s="387"/>
      <c r="AP2" s="387"/>
      <c r="AQ2" s="387"/>
    </row>
    <row r="3" spans="1:43" customFormat="1">
      <c r="A3" s="418">
        <v>2021</v>
      </c>
      <c r="B3" s="419">
        <v>9</v>
      </c>
      <c r="C3" s="419">
        <v>3.75</v>
      </c>
      <c r="D3" s="420">
        <f t="shared" ref="D3" si="0">SUM(B3:C3)</f>
        <v>12.75</v>
      </c>
      <c r="E3" s="420">
        <v>15</v>
      </c>
      <c r="F3" s="421">
        <v>10</v>
      </c>
      <c r="G3" s="419">
        <v>9</v>
      </c>
      <c r="H3" s="419">
        <v>3.75</v>
      </c>
      <c r="I3" s="419">
        <v>64</v>
      </c>
      <c r="J3" s="419">
        <v>195</v>
      </c>
      <c r="K3" s="420">
        <f t="shared" ref="K3" si="1">SUM(I3:J3)</f>
        <v>259</v>
      </c>
      <c r="L3" s="419">
        <v>70.2</v>
      </c>
      <c r="M3" s="421">
        <f t="shared" ref="M3" si="2">(I3+L3)</f>
        <v>134.19999999999999</v>
      </c>
      <c r="N3" s="514" t="s">
        <v>79</v>
      </c>
      <c r="O3" s="419">
        <v>134.19999999999999</v>
      </c>
      <c r="P3" s="422">
        <f t="shared" ref="P3" si="3">M3/O3</f>
        <v>1</v>
      </c>
      <c r="Q3" s="419">
        <v>67</v>
      </c>
      <c r="R3" s="419">
        <v>0</v>
      </c>
      <c r="S3" s="423">
        <v>1975323.9</v>
      </c>
      <c r="T3" s="424">
        <f t="shared" ref="T3" si="4">SUM(U3:V3)</f>
        <v>2154551.9</v>
      </c>
      <c r="U3" s="423">
        <v>1651731.9</v>
      </c>
      <c r="V3" s="423">
        <v>502820</v>
      </c>
      <c r="W3" s="425">
        <f t="shared" ref="W3" si="5">V3/T3</f>
        <v>0.23337567315041241</v>
      </c>
      <c r="X3" s="426"/>
      <c r="Y3" s="426"/>
      <c r="Z3" s="426"/>
      <c r="AA3" s="426"/>
      <c r="AB3" s="426"/>
      <c r="AC3" s="426"/>
      <c r="AD3" s="426"/>
      <c r="AE3" s="426"/>
      <c r="AF3" s="426"/>
      <c r="AG3" s="426"/>
      <c r="AH3" s="426"/>
      <c r="AI3" s="426"/>
      <c r="AJ3" s="426"/>
      <c r="AK3" s="426"/>
      <c r="AL3" s="426"/>
      <c r="AM3" s="426"/>
      <c r="AN3" s="426"/>
      <c r="AO3" s="426"/>
      <c r="AP3" s="426"/>
      <c r="AQ3" s="426"/>
    </row>
    <row r="4" spans="1:43" customFormat="1">
      <c r="A4" s="418">
        <v>2020</v>
      </c>
      <c r="B4" s="419">
        <v>9</v>
      </c>
      <c r="C4" s="419">
        <v>3.75</v>
      </c>
      <c r="D4" s="420">
        <v>12.75</v>
      </c>
      <c r="E4" s="420">
        <v>15</v>
      </c>
      <c r="F4" s="421">
        <v>10</v>
      </c>
      <c r="G4" s="419">
        <v>9</v>
      </c>
      <c r="H4" s="419">
        <v>3.75</v>
      </c>
      <c r="I4" s="419">
        <v>69</v>
      </c>
      <c r="J4" s="419">
        <v>179</v>
      </c>
      <c r="K4" s="420">
        <v>248</v>
      </c>
      <c r="L4" s="419">
        <v>64.44</v>
      </c>
      <c r="M4" s="421">
        <v>133.44</v>
      </c>
      <c r="N4" s="514" t="s">
        <v>79</v>
      </c>
      <c r="O4" s="419">
        <v>133.44</v>
      </c>
      <c r="P4" s="422">
        <v>1</v>
      </c>
      <c r="Q4" s="419">
        <v>55</v>
      </c>
      <c r="R4" s="419">
        <v>0</v>
      </c>
      <c r="S4" s="423">
        <v>1865182</v>
      </c>
      <c r="T4" s="424">
        <v>2133620</v>
      </c>
      <c r="U4" s="423">
        <v>1619345</v>
      </c>
      <c r="V4" s="423">
        <v>514275</v>
      </c>
      <c r="W4" s="425">
        <v>0.24103401730392479</v>
      </c>
      <c r="X4" s="426"/>
      <c r="Y4" s="426"/>
      <c r="Z4" s="426"/>
      <c r="AA4" s="426"/>
      <c r="AB4" s="426"/>
      <c r="AC4" s="426"/>
      <c r="AD4" s="426"/>
      <c r="AE4" s="426"/>
      <c r="AF4" s="426"/>
      <c r="AG4" s="426"/>
      <c r="AH4" s="426"/>
      <c r="AI4" s="426"/>
      <c r="AJ4" s="426"/>
      <c r="AK4" s="426"/>
      <c r="AL4" s="426"/>
      <c r="AM4" s="426"/>
      <c r="AN4" s="426"/>
      <c r="AO4" s="426"/>
      <c r="AP4" s="426"/>
      <c r="AQ4" s="426"/>
    </row>
    <row r="5" spans="1:43" customFormat="1">
      <c r="A5" s="418">
        <v>2019</v>
      </c>
      <c r="B5" s="419">
        <v>9</v>
      </c>
      <c r="C5" s="419">
        <v>4</v>
      </c>
      <c r="D5" s="420">
        <f>SUM(B5:C5)</f>
        <v>13</v>
      </c>
      <c r="E5" s="420">
        <f>ROUND((O5/B5), 0)</f>
        <v>14</v>
      </c>
      <c r="F5" s="421">
        <f>ROUND((O5/D5), 0)</f>
        <v>10</v>
      </c>
      <c r="G5" s="419">
        <v>9</v>
      </c>
      <c r="H5" s="419">
        <v>4</v>
      </c>
      <c r="I5" s="419">
        <v>67</v>
      </c>
      <c r="J5" s="419">
        <v>174</v>
      </c>
      <c r="K5" s="420">
        <f>SUM(I5:J5)</f>
        <v>241</v>
      </c>
      <c r="L5" s="419">
        <v>62.64</v>
      </c>
      <c r="M5" s="421">
        <f>(I5+L5)</f>
        <v>129.63999999999999</v>
      </c>
      <c r="N5" s="514" t="s">
        <v>79</v>
      </c>
      <c r="O5" s="419">
        <v>129.63999999999999</v>
      </c>
      <c r="P5" s="422">
        <f>M5/O5</f>
        <v>1</v>
      </c>
      <c r="Q5" s="419">
        <v>86</v>
      </c>
      <c r="R5" s="419">
        <v>0</v>
      </c>
      <c r="S5" s="423">
        <v>1721472</v>
      </c>
      <c r="T5" s="424">
        <f>SUM(U5:V5)</f>
        <v>2177028</v>
      </c>
      <c r="U5" s="423">
        <v>1652140</v>
      </c>
      <c r="V5" s="423">
        <v>524888</v>
      </c>
      <c r="W5" s="425">
        <f>V5/T5</f>
        <v>0.24110300832143639</v>
      </c>
      <c r="X5" s="426"/>
      <c r="Y5" s="426"/>
      <c r="Z5" s="426"/>
      <c r="AA5" s="426"/>
      <c r="AB5" s="426"/>
      <c r="AC5" s="426"/>
      <c r="AD5" s="426"/>
      <c r="AE5" s="426"/>
      <c r="AF5" s="426"/>
      <c r="AG5" s="426"/>
      <c r="AH5" s="426"/>
      <c r="AI5" s="426"/>
      <c r="AJ5" s="426"/>
      <c r="AK5" s="426"/>
      <c r="AL5" s="426"/>
      <c r="AM5" s="426"/>
      <c r="AN5" s="426"/>
      <c r="AO5" s="426"/>
      <c r="AP5" s="426"/>
      <c r="AQ5" s="426"/>
    </row>
    <row r="6" spans="1:43">
      <c r="A6" s="364">
        <v>2018</v>
      </c>
      <c r="B6" s="379">
        <v>9</v>
      </c>
      <c r="C6" s="379">
        <v>4.25</v>
      </c>
      <c r="D6" s="54">
        <f t="shared" ref="D6" si="6">SUM(B6:C6)</f>
        <v>13.25</v>
      </c>
      <c r="E6" s="55">
        <f t="shared" ref="E6" si="7">ROUND((O6/B6), 0)</f>
        <v>18</v>
      </c>
      <c r="F6" s="55">
        <f t="shared" ref="F6" si="8">ROUND((O6/D6), 0)</f>
        <v>13</v>
      </c>
      <c r="G6" s="379">
        <v>9</v>
      </c>
      <c r="H6" s="379">
        <v>4.25</v>
      </c>
      <c r="I6" s="379">
        <v>93</v>
      </c>
      <c r="J6" s="379">
        <v>175</v>
      </c>
      <c r="K6" s="54">
        <f t="shared" ref="K6" si="9">SUM(I6:J6)</f>
        <v>268</v>
      </c>
      <c r="L6" s="379">
        <v>57.75</v>
      </c>
      <c r="M6" s="55">
        <f>(I6+L6)</f>
        <v>150.75</v>
      </c>
      <c r="N6" s="381" t="s">
        <v>79</v>
      </c>
      <c r="O6" s="379">
        <v>165.96</v>
      </c>
      <c r="P6" s="365">
        <f t="shared" ref="P6" si="10">M6/O6</f>
        <v>0.90835140997830799</v>
      </c>
      <c r="Q6" s="379">
        <v>62</v>
      </c>
      <c r="R6" s="379">
        <v>0</v>
      </c>
      <c r="S6" s="380">
        <v>1759534</v>
      </c>
      <c r="T6" s="58">
        <f t="shared" ref="T6" si="11">SUM(U6:V6)</f>
        <v>2248896</v>
      </c>
      <c r="U6" s="380">
        <v>1727580</v>
      </c>
      <c r="V6" s="380">
        <v>521316</v>
      </c>
      <c r="W6" s="366">
        <f t="shared" ref="W6" si="12">V6/T6</f>
        <v>0.23180974131307094</v>
      </c>
      <c r="X6" s="249"/>
      <c r="Y6" s="249"/>
      <c r="Z6" s="249"/>
      <c r="AA6" s="249"/>
      <c r="AB6" s="249"/>
      <c r="AC6" s="249"/>
      <c r="AD6" s="249"/>
      <c r="AE6" s="249"/>
      <c r="AF6" s="249"/>
      <c r="AG6" s="249"/>
      <c r="AH6" s="249"/>
      <c r="AI6" s="249"/>
      <c r="AJ6" s="249"/>
      <c r="AK6" s="249"/>
      <c r="AL6" s="249"/>
      <c r="AM6" s="249"/>
      <c r="AN6" s="249"/>
      <c r="AO6" s="249"/>
      <c r="AP6" s="249"/>
      <c r="AQ6" s="249"/>
    </row>
    <row r="7" spans="1:43">
      <c r="A7" s="364">
        <v>2017</v>
      </c>
      <c r="B7" s="367">
        <v>8</v>
      </c>
      <c r="C7" s="367">
        <v>4.5</v>
      </c>
      <c r="D7" s="54">
        <f t="shared" ref="D7:D8" si="13">SUM(B7:C7)</f>
        <v>12.5</v>
      </c>
      <c r="E7" s="55">
        <f t="shared" ref="E7:E22" si="14">ROUND((O7/B7), 0)</f>
        <v>21</v>
      </c>
      <c r="F7" s="55">
        <f t="shared" ref="F7:F22" si="15">ROUND((O7/D7), 0)</f>
        <v>14</v>
      </c>
      <c r="G7" s="367">
        <v>8</v>
      </c>
      <c r="H7" s="367">
        <v>4.5</v>
      </c>
      <c r="I7" s="367">
        <v>107</v>
      </c>
      <c r="J7" s="367">
        <v>173</v>
      </c>
      <c r="K7" s="54">
        <f t="shared" ref="K7:K8" si="16">SUM(I7:J7)</f>
        <v>280</v>
      </c>
      <c r="L7" s="367">
        <f>173*0.36</f>
        <v>62.28</v>
      </c>
      <c r="M7" s="55">
        <f t="shared" ref="M7:M12" si="17">I7+L7</f>
        <v>169.28</v>
      </c>
      <c r="N7" s="45" t="s">
        <v>79</v>
      </c>
      <c r="O7" s="367">
        <v>169.28</v>
      </c>
      <c r="P7" s="365">
        <f t="shared" ref="P7:P22" si="18">M7/O7</f>
        <v>1</v>
      </c>
      <c r="Q7" s="367">
        <v>71</v>
      </c>
      <c r="R7" s="367">
        <v>0</v>
      </c>
      <c r="S7" s="368">
        <v>2362048</v>
      </c>
      <c r="T7" s="58">
        <f t="shared" ref="T7:T8" si="19">SUM(U7:V7)</f>
        <v>2724930</v>
      </c>
      <c r="U7" s="368">
        <v>2218246</v>
      </c>
      <c r="V7" s="368">
        <v>506684</v>
      </c>
      <c r="W7" s="366">
        <f t="shared" ref="W7:W22" si="20">V7/T7</f>
        <v>0.18594385910830738</v>
      </c>
      <c r="X7" s="388"/>
      <c r="Y7" s="388"/>
      <c r="Z7" s="388"/>
      <c r="AA7" s="388"/>
      <c r="AB7" s="388"/>
      <c r="AC7" s="388"/>
      <c r="AD7" s="388"/>
      <c r="AE7" s="388"/>
      <c r="AF7" s="388"/>
      <c r="AG7" s="388"/>
      <c r="AH7" s="388"/>
      <c r="AI7" s="388"/>
      <c r="AJ7" s="388"/>
      <c r="AK7" s="388"/>
      <c r="AL7" s="388"/>
      <c r="AM7" s="388"/>
      <c r="AN7" s="388"/>
      <c r="AO7" s="388"/>
      <c r="AP7" s="388"/>
      <c r="AQ7" s="388"/>
    </row>
    <row r="8" spans="1:43">
      <c r="A8" s="364">
        <v>2016</v>
      </c>
      <c r="B8" s="367">
        <v>8</v>
      </c>
      <c r="C8" s="367">
        <v>4.5</v>
      </c>
      <c r="D8" s="54">
        <f t="shared" si="13"/>
        <v>12.5</v>
      </c>
      <c r="E8" s="55">
        <f t="shared" si="14"/>
        <v>18</v>
      </c>
      <c r="F8" s="55">
        <f t="shared" si="15"/>
        <v>11</v>
      </c>
      <c r="G8" s="367">
        <v>7</v>
      </c>
      <c r="H8" s="367">
        <v>4.5</v>
      </c>
      <c r="I8" s="367">
        <v>88</v>
      </c>
      <c r="J8" s="367">
        <v>146</v>
      </c>
      <c r="K8" s="54">
        <f t="shared" si="16"/>
        <v>234</v>
      </c>
      <c r="L8" s="367">
        <f>146*0.36</f>
        <v>52.559999999999995</v>
      </c>
      <c r="M8" s="55">
        <f t="shared" si="17"/>
        <v>140.56</v>
      </c>
      <c r="N8" s="45" t="s">
        <v>79</v>
      </c>
      <c r="O8" s="367">
        <v>140.56</v>
      </c>
      <c r="P8" s="365">
        <f t="shared" si="18"/>
        <v>1</v>
      </c>
      <c r="Q8" s="367">
        <v>78</v>
      </c>
      <c r="R8" s="367">
        <v>0</v>
      </c>
      <c r="S8" s="368">
        <v>1910075</v>
      </c>
      <c r="T8" s="58">
        <f t="shared" si="19"/>
        <v>2155909</v>
      </c>
      <c r="U8" s="368">
        <v>1808756</v>
      </c>
      <c r="V8" s="368">
        <v>347153</v>
      </c>
      <c r="W8" s="366">
        <f t="shared" si="20"/>
        <v>0.16102395787577306</v>
      </c>
      <c r="X8" s="388"/>
      <c r="Y8" s="388"/>
      <c r="Z8" s="388"/>
      <c r="AA8" s="388"/>
      <c r="AB8" s="388"/>
      <c r="AC8" s="388"/>
      <c r="AD8" s="388"/>
      <c r="AE8" s="388"/>
      <c r="AF8" s="388"/>
      <c r="AG8" s="388"/>
      <c r="AH8" s="388"/>
      <c r="AI8" s="388"/>
      <c r="AJ8" s="388"/>
      <c r="AK8" s="388"/>
      <c r="AL8" s="388"/>
      <c r="AM8" s="388"/>
      <c r="AN8" s="388"/>
      <c r="AO8" s="388"/>
      <c r="AP8" s="388"/>
      <c r="AQ8" s="388"/>
    </row>
    <row r="9" spans="1:43">
      <c r="A9" s="369">
        <v>2015</v>
      </c>
      <c r="B9" s="53">
        <v>8</v>
      </c>
      <c r="C9" s="53">
        <v>3.75</v>
      </c>
      <c r="D9" s="54">
        <v>11.75</v>
      </c>
      <c r="E9" s="55">
        <f t="shared" si="14"/>
        <v>24</v>
      </c>
      <c r="F9" s="55">
        <f t="shared" si="15"/>
        <v>17</v>
      </c>
      <c r="G9" s="54"/>
      <c r="H9" s="54"/>
      <c r="I9" s="53">
        <v>84</v>
      </c>
      <c r="J9" s="53">
        <v>183</v>
      </c>
      <c r="K9" s="54">
        <v>267</v>
      </c>
      <c r="L9" s="53">
        <v>110</v>
      </c>
      <c r="M9" s="54">
        <f t="shared" si="17"/>
        <v>194</v>
      </c>
      <c r="N9" s="45" t="s">
        <v>79</v>
      </c>
      <c r="O9" s="53">
        <v>194</v>
      </c>
      <c r="P9" s="365">
        <f t="shared" si="18"/>
        <v>1</v>
      </c>
      <c r="Q9" s="53">
        <v>32</v>
      </c>
      <c r="R9" s="53">
        <v>0</v>
      </c>
      <c r="S9" s="61">
        <v>2020676</v>
      </c>
      <c r="T9" s="58">
        <v>1968767</v>
      </c>
      <c r="U9" s="61">
        <v>1636432</v>
      </c>
      <c r="V9" s="61">
        <v>332335</v>
      </c>
      <c r="W9" s="366">
        <f t="shared" si="20"/>
        <v>0.16880362175920258</v>
      </c>
      <c r="X9" s="22"/>
      <c r="Y9" s="22"/>
      <c r="Z9" s="22"/>
      <c r="AA9" s="22"/>
      <c r="AB9" s="22"/>
      <c r="AC9" s="22"/>
      <c r="AD9" s="22"/>
      <c r="AE9" s="22"/>
      <c r="AF9" s="22"/>
      <c r="AG9" s="22"/>
      <c r="AH9" s="22"/>
      <c r="AI9" s="22"/>
      <c r="AJ9" s="22"/>
      <c r="AK9" s="22"/>
      <c r="AL9" s="22"/>
      <c r="AM9" s="22"/>
      <c r="AN9" s="22"/>
      <c r="AO9" s="22"/>
      <c r="AP9" s="22"/>
      <c r="AQ9" s="22"/>
    </row>
    <row r="10" spans="1:43">
      <c r="A10" s="369">
        <v>2014</v>
      </c>
      <c r="B10" s="53">
        <v>8</v>
      </c>
      <c r="C10" s="53">
        <v>2.25</v>
      </c>
      <c r="D10" s="54">
        <f t="shared" ref="D10:D22" si="21">SUM(B10:C10)</f>
        <v>10.25</v>
      </c>
      <c r="E10" s="55">
        <f t="shared" si="14"/>
        <v>21</v>
      </c>
      <c r="F10" s="55">
        <f t="shared" si="15"/>
        <v>16</v>
      </c>
      <c r="G10" s="370"/>
      <c r="H10" s="370"/>
      <c r="I10" s="53">
        <v>96</v>
      </c>
      <c r="J10" s="53">
        <v>100</v>
      </c>
      <c r="K10" s="54">
        <f t="shared" ref="K10:K22" si="22">SUM(I10:J10)</f>
        <v>196</v>
      </c>
      <c r="L10" s="53">
        <v>67</v>
      </c>
      <c r="M10" s="55">
        <f t="shared" si="17"/>
        <v>163</v>
      </c>
      <c r="N10" s="45" t="s">
        <v>79</v>
      </c>
      <c r="O10" s="59">
        <v>165</v>
      </c>
      <c r="P10" s="365">
        <f t="shared" si="18"/>
        <v>0.98787878787878791</v>
      </c>
      <c r="Q10" s="53">
        <v>44</v>
      </c>
      <c r="R10" s="53">
        <v>0</v>
      </c>
      <c r="S10" s="57">
        <v>2242728</v>
      </c>
      <c r="T10" s="58">
        <f t="shared" ref="T10:T22" si="23">SUM(U10:V10)</f>
        <v>2245372</v>
      </c>
      <c r="U10" s="57">
        <v>2010523</v>
      </c>
      <c r="V10" s="57">
        <v>234849</v>
      </c>
      <c r="W10" s="366">
        <f t="shared" si="20"/>
        <v>0.10459246841948684</v>
      </c>
      <c r="X10" s="22"/>
      <c r="Y10" s="22"/>
      <c r="Z10" s="22"/>
      <c r="AA10" s="22"/>
      <c r="AB10" s="22"/>
      <c r="AC10" s="22"/>
      <c r="AD10" s="22"/>
      <c r="AE10" s="22"/>
      <c r="AF10" s="22"/>
      <c r="AG10" s="22"/>
      <c r="AH10" s="22"/>
      <c r="AI10" s="22"/>
      <c r="AJ10" s="22"/>
      <c r="AK10" s="22"/>
      <c r="AL10" s="22"/>
      <c r="AM10" s="22"/>
      <c r="AN10" s="22"/>
      <c r="AO10" s="22"/>
      <c r="AP10" s="22"/>
      <c r="AQ10" s="22"/>
    </row>
    <row r="11" spans="1:43">
      <c r="A11" s="369">
        <v>2013</v>
      </c>
      <c r="B11" s="53">
        <v>8</v>
      </c>
      <c r="C11" s="53">
        <v>2</v>
      </c>
      <c r="D11" s="54">
        <f t="shared" si="21"/>
        <v>10</v>
      </c>
      <c r="E11" s="55">
        <f t="shared" si="14"/>
        <v>16</v>
      </c>
      <c r="F11" s="55">
        <f t="shared" si="15"/>
        <v>13</v>
      </c>
      <c r="G11" s="55"/>
      <c r="H11" s="55"/>
      <c r="I11" s="53">
        <v>87</v>
      </c>
      <c r="J11" s="53">
        <v>59</v>
      </c>
      <c r="K11" s="54">
        <f t="shared" si="22"/>
        <v>146</v>
      </c>
      <c r="L11" s="53">
        <v>40</v>
      </c>
      <c r="M11" s="55">
        <f t="shared" si="17"/>
        <v>127</v>
      </c>
      <c r="N11" s="45" t="s">
        <v>79</v>
      </c>
      <c r="O11" s="59">
        <v>127</v>
      </c>
      <c r="P11" s="365">
        <f t="shared" si="18"/>
        <v>1</v>
      </c>
      <c r="Q11" s="53">
        <v>55</v>
      </c>
      <c r="R11" s="53">
        <v>0</v>
      </c>
      <c r="S11" s="57">
        <v>2153710</v>
      </c>
      <c r="T11" s="58">
        <f t="shared" si="23"/>
        <v>2157141</v>
      </c>
      <c r="U11" s="57">
        <v>1984141</v>
      </c>
      <c r="V11" s="57">
        <v>173000</v>
      </c>
      <c r="W11" s="366">
        <f t="shared" si="20"/>
        <v>8.0198744541965503E-2</v>
      </c>
      <c r="X11" s="22"/>
      <c r="Y11" s="22"/>
      <c r="Z11" s="22"/>
      <c r="AA11" s="22"/>
      <c r="AB11" s="22"/>
      <c r="AC11" s="22"/>
      <c r="AD11" s="22"/>
      <c r="AE11" s="22"/>
      <c r="AF11" s="22"/>
      <c r="AG11" s="22"/>
      <c r="AH11" s="22"/>
      <c r="AI11" s="22"/>
      <c r="AJ11" s="22"/>
      <c r="AK11" s="22"/>
      <c r="AL11" s="22"/>
      <c r="AM11" s="22"/>
      <c r="AN11" s="22"/>
      <c r="AO11" s="22"/>
      <c r="AP11" s="22"/>
      <c r="AQ11" s="22"/>
    </row>
    <row r="12" spans="1:43">
      <c r="A12" s="369" t="s">
        <v>86</v>
      </c>
      <c r="B12" s="53">
        <v>8</v>
      </c>
      <c r="C12" s="53">
        <v>2</v>
      </c>
      <c r="D12" s="54">
        <f t="shared" si="21"/>
        <v>10</v>
      </c>
      <c r="E12" s="55">
        <f t="shared" si="14"/>
        <v>26</v>
      </c>
      <c r="F12" s="55">
        <f t="shared" si="15"/>
        <v>21</v>
      </c>
      <c r="G12" s="55"/>
      <c r="H12" s="55"/>
      <c r="I12" s="53">
        <v>111</v>
      </c>
      <c r="J12" s="53">
        <v>25</v>
      </c>
      <c r="K12" s="54">
        <f t="shared" si="22"/>
        <v>136</v>
      </c>
      <c r="L12" s="53">
        <v>25</v>
      </c>
      <c r="M12" s="55">
        <f t="shared" si="17"/>
        <v>136</v>
      </c>
      <c r="N12" s="45" t="s">
        <v>79</v>
      </c>
      <c r="O12" s="59">
        <v>207.32999999999998</v>
      </c>
      <c r="P12" s="365">
        <f t="shared" si="18"/>
        <v>0.65595909902088467</v>
      </c>
      <c r="Q12" s="53">
        <v>45</v>
      </c>
      <c r="R12" s="53">
        <v>0</v>
      </c>
      <c r="S12" s="57">
        <v>1944719</v>
      </c>
      <c r="T12" s="58">
        <f t="shared" si="23"/>
        <v>1665154</v>
      </c>
      <c r="U12" s="57">
        <v>1490963</v>
      </c>
      <c r="V12" s="57">
        <v>174191</v>
      </c>
      <c r="W12" s="366">
        <f t="shared" si="20"/>
        <v>0.10460954362179113</v>
      </c>
      <c r="X12" s="22"/>
      <c r="Y12" s="22"/>
      <c r="Z12" s="22"/>
      <c r="AA12" s="22"/>
      <c r="AB12" s="22"/>
      <c r="AC12" s="22"/>
      <c r="AD12" s="22"/>
      <c r="AE12" s="22"/>
      <c r="AF12" s="22"/>
      <c r="AG12" s="22"/>
      <c r="AH12" s="22"/>
      <c r="AI12" s="22"/>
      <c r="AJ12" s="22"/>
      <c r="AK12" s="22"/>
      <c r="AL12" s="22"/>
      <c r="AM12" s="22"/>
      <c r="AN12" s="22"/>
      <c r="AO12" s="22"/>
      <c r="AP12" s="22"/>
      <c r="AQ12" s="22"/>
    </row>
    <row r="13" spans="1:43">
      <c r="A13" s="369" t="s">
        <v>81</v>
      </c>
      <c r="B13" s="53">
        <v>7</v>
      </c>
      <c r="C13" s="53">
        <v>2.25</v>
      </c>
      <c r="D13" s="54">
        <f t="shared" si="21"/>
        <v>9.25</v>
      </c>
      <c r="E13" s="55">
        <f t="shared" si="14"/>
        <v>15</v>
      </c>
      <c r="F13" s="55">
        <f t="shared" si="15"/>
        <v>11</v>
      </c>
      <c r="G13" s="55"/>
      <c r="H13" s="55"/>
      <c r="I13" s="53">
        <v>71</v>
      </c>
      <c r="J13" s="53">
        <v>33</v>
      </c>
      <c r="K13" s="54">
        <f t="shared" si="22"/>
        <v>104</v>
      </c>
      <c r="L13" s="53">
        <v>18.329999999999998</v>
      </c>
      <c r="M13" s="55">
        <f t="shared" ref="M13:M22" si="24">(I13+L13)</f>
        <v>89.33</v>
      </c>
      <c r="N13" s="45" t="s">
        <v>79</v>
      </c>
      <c r="O13" s="59">
        <v>102.33</v>
      </c>
      <c r="P13" s="365">
        <f t="shared" si="18"/>
        <v>0.87296003127137689</v>
      </c>
      <c r="Q13" s="53">
        <v>30</v>
      </c>
      <c r="R13" s="53">
        <v>2</v>
      </c>
      <c r="S13" s="57">
        <v>1805414</v>
      </c>
      <c r="T13" s="58">
        <f t="shared" si="23"/>
        <v>1924567</v>
      </c>
      <c r="U13" s="57">
        <v>1582242</v>
      </c>
      <c r="V13" s="57">
        <v>342325</v>
      </c>
      <c r="W13" s="366">
        <f t="shared" si="20"/>
        <v>0.17787117829620896</v>
      </c>
      <c r="X13" s="22"/>
      <c r="Y13" s="22"/>
      <c r="Z13" s="22"/>
      <c r="AA13" s="22"/>
      <c r="AB13" s="22"/>
      <c r="AC13" s="22"/>
      <c r="AD13" s="22"/>
      <c r="AE13" s="22"/>
      <c r="AF13" s="22"/>
      <c r="AG13" s="22"/>
      <c r="AH13" s="22"/>
      <c r="AI13" s="22"/>
      <c r="AJ13" s="22"/>
      <c r="AK13" s="22"/>
      <c r="AL13" s="22"/>
      <c r="AM13" s="22"/>
      <c r="AN13" s="22"/>
      <c r="AO13" s="22"/>
      <c r="AP13" s="22"/>
      <c r="AQ13" s="22"/>
    </row>
    <row r="14" spans="1:43">
      <c r="A14" s="369" t="s">
        <v>82</v>
      </c>
      <c r="B14" s="53">
        <v>8</v>
      </c>
      <c r="C14" s="53">
        <v>1.2</v>
      </c>
      <c r="D14" s="54">
        <f t="shared" si="21"/>
        <v>9.1999999999999993</v>
      </c>
      <c r="E14" s="55">
        <f t="shared" si="14"/>
        <v>12</v>
      </c>
      <c r="F14" s="55">
        <f t="shared" si="15"/>
        <v>10</v>
      </c>
      <c r="G14" s="55"/>
      <c r="H14" s="55"/>
      <c r="I14" s="53">
        <v>77</v>
      </c>
      <c r="J14" s="53">
        <v>23</v>
      </c>
      <c r="K14" s="54">
        <f t="shared" si="22"/>
        <v>100</v>
      </c>
      <c r="L14" s="53">
        <v>8.33</v>
      </c>
      <c r="M14" s="55">
        <f t="shared" si="24"/>
        <v>85.33</v>
      </c>
      <c r="N14" s="45" t="s">
        <v>79</v>
      </c>
      <c r="O14" s="59">
        <v>93.66</v>
      </c>
      <c r="P14" s="365">
        <f t="shared" si="18"/>
        <v>0.91106128550074739</v>
      </c>
      <c r="Q14" s="53">
        <v>36</v>
      </c>
      <c r="R14" s="53">
        <v>0</v>
      </c>
      <c r="S14" s="57">
        <v>1861105.54</v>
      </c>
      <c r="T14" s="58">
        <f t="shared" si="23"/>
        <v>1853646</v>
      </c>
      <c r="U14" s="57">
        <v>1494015</v>
      </c>
      <c r="V14" s="57">
        <v>359631</v>
      </c>
      <c r="W14" s="366">
        <f t="shared" si="20"/>
        <v>0.19401277266533093</v>
      </c>
      <c r="X14" s="22"/>
      <c r="Y14" s="22"/>
      <c r="Z14" s="22"/>
      <c r="AA14" s="22"/>
      <c r="AB14" s="22"/>
      <c r="AC14" s="22"/>
      <c r="AD14" s="22"/>
      <c r="AE14" s="22"/>
      <c r="AF14" s="22"/>
      <c r="AG14" s="22"/>
      <c r="AH14" s="22"/>
      <c r="AI14" s="22"/>
      <c r="AJ14" s="22"/>
      <c r="AK14" s="22"/>
      <c r="AL14" s="22"/>
      <c r="AM14" s="22"/>
      <c r="AN14" s="22"/>
      <c r="AO14" s="22"/>
      <c r="AP14" s="22"/>
      <c r="AQ14" s="22"/>
    </row>
    <row r="15" spans="1:43">
      <c r="A15" s="369" t="s">
        <v>83</v>
      </c>
      <c r="B15" s="53">
        <v>8</v>
      </c>
      <c r="C15" s="53">
        <v>1.5</v>
      </c>
      <c r="D15" s="54">
        <f t="shared" si="21"/>
        <v>9.5</v>
      </c>
      <c r="E15" s="55">
        <f t="shared" si="14"/>
        <v>13</v>
      </c>
      <c r="F15" s="55">
        <f t="shared" si="15"/>
        <v>11</v>
      </c>
      <c r="G15" s="55"/>
      <c r="H15" s="55"/>
      <c r="I15" s="53">
        <v>77</v>
      </c>
      <c r="J15" s="53">
        <v>24</v>
      </c>
      <c r="K15" s="54">
        <f t="shared" si="22"/>
        <v>101</v>
      </c>
      <c r="L15" s="53">
        <v>13.44</v>
      </c>
      <c r="M15" s="55">
        <f t="shared" si="24"/>
        <v>90.44</v>
      </c>
      <c r="N15" s="45" t="s">
        <v>79</v>
      </c>
      <c r="O15" s="59">
        <v>102.78</v>
      </c>
      <c r="P15" s="365">
        <f t="shared" si="18"/>
        <v>0.87993773107608486</v>
      </c>
      <c r="Q15" s="53">
        <v>36</v>
      </c>
      <c r="R15" s="53">
        <v>2</v>
      </c>
      <c r="S15" s="57">
        <v>1686133.1</v>
      </c>
      <c r="T15" s="58">
        <f t="shared" si="23"/>
        <v>1688366</v>
      </c>
      <c r="U15" s="57">
        <v>1528087</v>
      </c>
      <c r="V15" s="57">
        <v>160279</v>
      </c>
      <c r="W15" s="366">
        <f t="shared" si="20"/>
        <v>9.4931430744281745E-2</v>
      </c>
      <c r="X15" s="22"/>
      <c r="Y15" s="22"/>
      <c r="Z15" s="22"/>
      <c r="AA15" s="22"/>
      <c r="AB15" s="22"/>
      <c r="AC15" s="22"/>
      <c r="AD15" s="22"/>
      <c r="AE15" s="22"/>
      <c r="AF15" s="22"/>
      <c r="AG15" s="22"/>
      <c r="AH15" s="22"/>
      <c r="AI15" s="22"/>
      <c r="AJ15" s="22"/>
      <c r="AK15" s="22"/>
      <c r="AL15" s="22"/>
      <c r="AM15" s="22"/>
      <c r="AN15" s="22"/>
      <c r="AO15" s="22"/>
      <c r="AP15" s="22"/>
      <c r="AQ15" s="22"/>
    </row>
    <row r="16" spans="1:43">
      <c r="A16" s="369" t="s">
        <v>84</v>
      </c>
      <c r="B16" s="53">
        <v>9</v>
      </c>
      <c r="C16" s="53">
        <v>1.25</v>
      </c>
      <c r="D16" s="54">
        <f t="shared" si="21"/>
        <v>10.25</v>
      </c>
      <c r="E16" s="55">
        <f t="shared" si="14"/>
        <v>9</v>
      </c>
      <c r="F16" s="55">
        <f t="shared" si="15"/>
        <v>8</v>
      </c>
      <c r="G16" s="55"/>
      <c r="H16" s="55"/>
      <c r="I16" s="53">
        <v>68</v>
      </c>
      <c r="J16" s="53">
        <v>22</v>
      </c>
      <c r="K16" s="54">
        <f t="shared" si="22"/>
        <v>90</v>
      </c>
      <c r="L16" s="53">
        <v>10.89</v>
      </c>
      <c r="M16" s="55">
        <f t="shared" si="24"/>
        <v>78.89</v>
      </c>
      <c r="N16" s="45" t="s">
        <v>79</v>
      </c>
      <c r="O16" s="53">
        <v>83</v>
      </c>
      <c r="P16" s="365">
        <f t="shared" si="18"/>
        <v>0.95048192771084339</v>
      </c>
      <c r="Q16" s="53">
        <v>43</v>
      </c>
      <c r="R16" s="53">
        <v>0</v>
      </c>
      <c r="S16" s="57">
        <v>1543729</v>
      </c>
      <c r="T16" s="58">
        <f t="shared" si="23"/>
        <v>1543729</v>
      </c>
      <c r="U16" s="57">
        <v>1274989</v>
      </c>
      <c r="V16" s="57">
        <v>268740</v>
      </c>
      <c r="W16" s="366">
        <f t="shared" si="20"/>
        <v>0.17408495921240061</v>
      </c>
      <c r="X16" s="22"/>
      <c r="Y16" s="22"/>
      <c r="Z16" s="22"/>
      <c r="AA16" s="22"/>
      <c r="AB16" s="22"/>
      <c r="AC16" s="22"/>
      <c r="AD16" s="22"/>
      <c r="AE16" s="22"/>
      <c r="AF16" s="22"/>
      <c r="AG16" s="22"/>
      <c r="AH16" s="22"/>
      <c r="AI16" s="22"/>
      <c r="AJ16" s="22"/>
      <c r="AK16" s="22"/>
      <c r="AL16" s="22"/>
      <c r="AM16" s="22"/>
      <c r="AN16" s="22"/>
      <c r="AO16" s="22"/>
      <c r="AP16" s="22"/>
      <c r="AQ16" s="22"/>
    </row>
    <row r="17" spans="1:43">
      <c r="A17" s="369">
        <v>2007</v>
      </c>
      <c r="B17" s="53">
        <v>8</v>
      </c>
      <c r="C17" s="53">
        <v>1.25</v>
      </c>
      <c r="D17" s="54">
        <f t="shared" si="21"/>
        <v>9.25</v>
      </c>
      <c r="E17" s="55">
        <f t="shared" si="14"/>
        <v>11</v>
      </c>
      <c r="F17" s="55">
        <f t="shared" si="15"/>
        <v>9</v>
      </c>
      <c r="G17" s="55"/>
      <c r="H17" s="55"/>
      <c r="I17" s="53">
        <v>75</v>
      </c>
      <c r="J17" s="53">
        <v>23</v>
      </c>
      <c r="K17" s="54">
        <f t="shared" si="22"/>
        <v>98</v>
      </c>
      <c r="L17" s="53">
        <v>11.55</v>
      </c>
      <c r="M17" s="55">
        <f t="shared" si="24"/>
        <v>86.55</v>
      </c>
      <c r="N17" s="45" t="s">
        <v>79</v>
      </c>
      <c r="O17" s="53">
        <v>87</v>
      </c>
      <c r="P17" s="365">
        <f t="shared" si="18"/>
        <v>0.99482758620689649</v>
      </c>
      <c r="Q17" s="53">
        <v>37</v>
      </c>
      <c r="R17" s="53">
        <v>0</v>
      </c>
      <c r="S17" s="61">
        <v>1494648</v>
      </c>
      <c r="T17" s="58">
        <f t="shared" si="23"/>
        <v>1494648</v>
      </c>
      <c r="U17" s="61">
        <v>1210607</v>
      </c>
      <c r="V17" s="61">
        <v>284041</v>
      </c>
      <c r="W17" s="366">
        <f t="shared" si="20"/>
        <v>0.19003872483688466</v>
      </c>
      <c r="X17" s="22"/>
      <c r="Y17" s="22"/>
      <c r="Z17" s="22"/>
      <c r="AA17" s="22"/>
      <c r="AB17" s="22"/>
      <c r="AC17" s="22"/>
      <c r="AD17" s="22"/>
      <c r="AE17" s="22"/>
      <c r="AF17" s="22"/>
      <c r="AG17" s="22"/>
      <c r="AH17" s="22"/>
      <c r="AI17" s="22"/>
      <c r="AJ17" s="22"/>
      <c r="AK17" s="22"/>
      <c r="AL17" s="22"/>
      <c r="AM17" s="22"/>
      <c r="AN17" s="22"/>
      <c r="AO17" s="22"/>
      <c r="AP17" s="22"/>
      <c r="AQ17" s="22"/>
    </row>
    <row r="18" spans="1:43">
      <c r="A18" s="369">
        <v>2006</v>
      </c>
      <c r="B18" s="53">
        <v>8</v>
      </c>
      <c r="C18" s="53">
        <v>1.5</v>
      </c>
      <c r="D18" s="54">
        <f t="shared" si="21"/>
        <v>9.5</v>
      </c>
      <c r="E18" s="55">
        <f t="shared" si="14"/>
        <v>10</v>
      </c>
      <c r="F18" s="55">
        <f t="shared" si="15"/>
        <v>9</v>
      </c>
      <c r="G18" s="55"/>
      <c r="H18" s="55"/>
      <c r="I18" s="53">
        <v>65</v>
      </c>
      <c r="J18" s="53">
        <v>22</v>
      </c>
      <c r="K18" s="54">
        <f t="shared" si="22"/>
        <v>87</v>
      </c>
      <c r="L18" s="53">
        <v>13</v>
      </c>
      <c r="M18" s="55">
        <f t="shared" si="24"/>
        <v>78</v>
      </c>
      <c r="N18" s="45" t="s">
        <v>79</v>
      </c>
      <c r="O18" s="53">
        <v>82</v>
      </c>
      <c r="P18" s="365">
        <f t="shared" si="18"/>
        <v>0.95121951219512191</v>
      </c>
      <c r="Q18" s="53">
        <v>23</v>
      </c>
      <c r="R18" s="53">
        <v>0</v>
      </c>
      <c r="S18" s="61">
        <v>1531150</v>
      </c>
      <c r="T18" s="58">
        <f t="shared" si="23"/>
        <v>1523197</v>
      </c>
      <c r="U18" s="61">
        <v>1292889</v>
      </c>
      <c r="V18" s="61">
        <v>230308</v>
      </c>
      <c r="W18" s="366">
        <f t="shared" si="20"/>
        <v>0.15120040283692784</v>
      </c>
      <c r="X18" s="22"/>
      <c r="Y18" s="22"/>
      <c r="Z18" s="22"/>
      <c r="AA18" s="22"/>
      <c r="AB18" s="22"/>
      <c r="AC18" s="22"/>
      <c r="AD18" s="22"/>
      <c r="AE18" s="22"/>
      <c r="AF18" s="22"/>
      <c r="AG18" s="22"/>
      <c r="AH18" s="22"/>
      <c r="AI18" s="22"/>
      <c r="AJ18" s="22"/>
      <c r="AK18" s="22"/>
      <c r="AL18" s="22"/>
      <c r="AM18" s="22"/>
      <c r="AN18" s="22"/>
      <c r="AO18" s="22"/>
      <c r="AP18" s="22"/>
      <c r="AQ18" s="22"/>
    </row>
    <row r="19" spans="1:43">
      <c r="A19" s="369">
        <v>2005</v>
      </c>
      <c r="B19" s="53">
        <v>9</v>
      </c>
      <c r="C19" s="53">
        <v>2</v>
      </c>
      <c r="D19" s="54">
        <f t="shared" si="21"/>
        <v>11</v>
      </c>
      <c r="E19" s="55">
        <f t="shared" si="14"/>
        <v>7</v>
      </c>
      <c r="F19" s="55">
        <f t="shared" si="15"/>
        <v>6</v>
      </c>
      <c r="G19" s="55"/>
      <c r="H19" s="55"/>
      <c r="I19" s="53">
        <v>58</v>
      </c>
      <c r="J19" s="53">
        <v>23</v>
      </c>
      <c r="K19" s="54">
        <f t="shared" si="22"/>
        <v>81</v>
      </c>
      <c r="L19" s="53">
        <v>12</v>
      </c>
      <c r="M19" s="55">
        <f t="shared" si="24"/>
        <v>70</v>
      </c>
      <c r="N19" s="45" t="s">
        <v>79</v>
      </c>
      <c r="O19" s="53">
        <v>61</v>
      </c>
      <c r="P19" s="365">
        <f t="shared" si="18"/>
        <v>1.1475409836065573</v>
      </c>
      <c r="Q19" s="53">
        <v>27</v>
      </c>
      <c r="R19" s="53">
        <v>0</v>
      </c>
      <c r="S19" s="61">
        <v>1312214</v>
      </c>
      <c r="T19" s="58">
        <f t="shared" si="23"/>
        <v>1312214</v>
      </c>
      <c r="U19" s="61">
        <v>1072019</v>
      </c>
      <c r="V19" s="61">
        <v>240195</v>
      </c>
      <c r="W19" s="366">
        <f t="shared" si="20"/>
        <v>0.18304560079377297</v>
      </c>
      <c r="X19" s="22"/>
      <c r="Y19" s="22"/>
      <c r="Z19" s="22"/>
      <c r="AA19" s="22"/>
      <c r="AB19" s="22"/>
      <c r="AC19" s="22"/>
      <c r="AD19" s="22"/>
      <c r="AE19" s="22"/>
      <c r="AF19" s="22"/>
      <c r="AG19" s="22"/>
      <c r="AH19" s="22"/>
      <c r="AI19" s="22"/>
      <c r="AJ19" s="22"/>
      <c r="AK19" s="22"/>
      <c r="AL19" s="22"/>
      <c r="AM19" s="22"/>
      <c r="AN19" s="22"/>
      <c r="AO19" s="22"/>
      <c r="AP19" s="22"/>
      <c r="AQ19" s="22"/>
    </row>
    <row r="20" spans="1:43">
      <c r="A20" s="369">
        <v>2004</v>
      </c>
      <c r="B20" s="53">
        <v>8</v>
      </c>
      <c r="C20" s="53">
        <v>0.5</v>
      </c>
      <c r="D20" s="54">
        <f t="shared" si="21"/>
        <v>8.5</v>
      </c>
      <c r="E20" s="55">
        <f t="shared" si="14"/>
        <v>9</v>
      </c>
      <c r="F20" s="55">
        <f t="shared" si="15"/>
        <v>8</v>
      </c>
      <c r="G20" s="55"/>
      <c r="H20" s="55"/>
      <c r="I20" s="53">
        <v>56</v>
      </c>
      <c r="J20" s="53">
        <v>28</v>
      </c>
      <c r="K20" s="54">
        <f t="shared" si="22"/>
        <v>84</v>
      </c>
      <c r="L20" s="53">
        <v>14</v>
      </c>
      <c r="M20" s="55">
        <f t="shared" si="24"/>
        <v>70</v>
      </c>
      <c r="N20" s="45" t="s">
        <v>79</v>
      </c>
      <c r="O20" s="53">
        <v>70</v>
      </c>
      <c r="P20" s="365">
        <f t="shared" si="18"/>
        <v>1</v>
      </c>
      <c r="Q20" s="53">
        <v>37</v>
      </c>
      <c r="R20" s="53">
        <v>0</v>
      </c>
      <c r="S20" s="61">
        <v>1133177</v>
      </c>
      <c r="T20" s="58">
        <f t="shared" si="23"/>
        <v>1133177</v>
      </c>
      <c r="U20" s="61">
        <v>941485</v>
      </c>
      <c r="V20" s="61">
        <v>191692</v>
      </c>
      <c r="W20" s="366">
        <f t="shared" si="20"/>
        <v>0.16916333458938895</v>
      </c>
      <c r="X20" s="22"/>
      <c r="Y20" s="22"/>
      <c r="Z20" s="22"/>
      <c r="AA20" s="22"/>
      <c r="AB20" s="22"/>
      <c r="AC20" s="22"/>
      <c r="AD20" s="22"/>
      <c r="AE20" s="22"/>
      <c r="AF20" s="22"/>
      <c r="AG20" s="22"/>
      <c r="AH20" s="22"/>
      <c r="AI20" s="22"/>
      <c r="AJ20" s="22"/>
      <c r="AK20" s="22"/>
      <c r="AL20" s="22"/>
      <c r="AM20" s="22"/>
      <c r="AN20" s="22"/>
      <c r="AO20" s="22"/>
      <c r="AP20" s="22"/>
      <c r="AQ20" s="22"/>
    </row>
    <row r="21" spans="1:43">
      <c r="A21" s="369">
        <v>2003</v>
      </c>
      <c r="B21" s="53">
        <v>7</v>
      </c>
      <c r="C21" s="53">
        <v>2</v>
      </c>
      <c r="D21" s="54">
        <f t="shared" si="21"/>
        <v>9</v>
      </c>
      <c r="E21" s="55">
        <f t="shared" si="14"/>
        <v>11</v>
      </c>
      <c r="F21" s="55">
        <f t="shared" si="15"/>
        <v>8</v>
      </c>
      <c r="G21" s="55"/>
      <c r="H21" s="55"/>
      <c r="I21" s="53">
        <v>62</v>
      </c>
      <c r="J21" s="53">
        <v>25</v>
      </c>
      <c r="K21" s="54">
        <f t="shared" si="22"/>
        <v>87</v>
      </c>
      <c r="L21" s="53">
        <v>12</v>
      </c>
      <c r="M21" s="55">
        <f t="shared" si="24"/>
        <v>74</v>
      </c>
      <c r="N21" s="45" t="s">
        <v>79</v>
      </c>
      <c r="O21" s="53">
        <v>74</v>
      </c>
      <c r="P21" s="365">
        <f t="shared" si="18"/>
        <v>1</v>
      </c>
      <c r="Q21" s="53">
        <v>40</v>
      </c>
      <c r="R21" s="53">
        <v>0</v>
      </c>
      <c r="S21" s="61">
        <v>1096210</v>
      </c>
      <c r="T21" s="58">
        <f t="shared" si="23"/>
        <v>1096210</v>
      </c>
      <c r="U21" s="61">
        <v>911165</v>
      </c>
      <c r="V21" s="61">
        <v>185045</v>
      </c>
      <c r="W21" s="366">
        <f t="shared" si="20"/>
        <v>0.16880433493582434</v>
      </c>
      <c r="X21" s="22"/>
      <c r="Y21" s="22"/>
      <c r="Z21" s="22"/>
      <c r="AA21" s="22"/>
      <c r="AB21" s="22"/>
      <c r="AC21" s="22"/>
      <c r="AD21" s="22"/>
      <c r="AE21" s="22"/>
      <c r="AF21" s="22"/>
      <c r="AG21" s="22"/>
      <c r="AH21" s="22"/>
      <c r="AI21" s="22"/>
      <c r="AJ21" s="22"/>
      <c r="AK21" s="22"/>
      <c r="AL21" s="22"/>
      <c r="AM21" s="22"/>
      <c r="AN21" s="22"/>
      <c r="AO21" s="22"/>
      <c r="AP21" s="22"/>
      <c r="AQ21" s="22"/>
    </row>
    <row r="22" spans="1:43">
      <c r="A22" s="398">
        <v>2002</v>
      </c>
      <c r="B22" s="399">
        <v>8</v>
      </c>
      <c r="C22" s="399">
        <v>1.25</v>
      </c>
      <c r="D22" s="400">
        <f t="shared" si="21"/>
        <v>9.25</v>
      </c>
      <c r="E22" s="401">
        <f t="shared" si="14"/>
        <v>12</v>
      </c>
      <c r="F22" s="401">
        <f t="shared" si="15"/>
        <v>10</v>
      </c>
      <c r="G22" s="401"/>
      <c r="H22" s="401"/>
      <c r="I22" s="399">
        <v>76</v>
      </c>
      <c r="J22" s="399">
        <v>22</v>
      </c>
      <c r="K22" s="400">
        <f t="shared" si="22"/>
        <v>98</v>
      </c>
      <c r="L22" s="399">
        <f>ROUND(11.88, 0)</f>
        <v>12</v>
      </c>
      <c r="M22" s="401">
        <f t="shared" si="24"/>
        <v>88</v>
      </c>
      <c r="N22" s="402" t="s">
        <v>79</v>
      </c>
      <c r="O22" s="399">
        <v>94</v>
      </c>
      <c r="P22" s="403">
        <f t="shared" si="18"/>
        <v>0.93617021276595747</v>
      </c>
      <c r="Q22" s="399">
        <v>22</v>
      </c>
      <c r="R22" s="399">
        <v>0</v>
      </c>
      <c r="S22" s="404">
        <v>1076564</v>
      </c>
      <c r="T22" s="405">
        <f t="shared" si="23"/>
        <v>1076564</v>
      </c>
      <c r="U22" s="404">
        <v>888535</v>
      </c>
      <c r="V22" s="404">
        <v>188029</v>
      </c>
      <c r="W22" s="406">
        <f t="shared" si="20"/>
        <v>0.17465659264103203</v>
      </c>
      <c r="X22" s="22"/>
      <c r="Y22" s="22"/>
      <c r="Z22" s="22"/>
      <c r="AA22" s="22"/>
      <c r="AB22" s="22"/>
      <c r="AC22" s="22"/>
      <c r="AD22" s="22"/>
      <c r="AE22" s="22"/>
      <c r="AF22" s="22"/>
      <c r="AG22" s="22"/>
      <c r="AH22" s="22"/>
      <c r="AI22" s="22"/>
      <c r="AJ22" s="22"/>
      <c r="AK22" s="22"/>
      <c r="AL22" s="22"/>
      <c r="AM22" s="22"/>
      <c r="AN22" s="22"/>
      <c r="AO22" s="22"/>
      <c r="AP22" s="22"/>
      <c r="AQ22" s="22"/>
    </row>
    <row r="23" spans="1:43" ht="15.75" customHeight="1">
      <c r="A23" s="657" t="s">
        <v>192</v>
      </c>
      <c r="B23" s="658"/>
      <c r="C23" s="658"/>
      <c r="D23" s="658"/>
      <c r="E23" s="658"/>
      <c r="F23" s="658"/>
      <c r="G23" s="658"/>
      <c r="H23" s="658"/>
      <c r="I23" s="658"/>
      <c r="J23" s="658"/>
      <c r="K23" s="658"/>
      <c r="L23" s="658"/>
      <c r="M23" s="658"/>
      <c r="N23" s="658"/>
      <c r="O23" s="658"/>
      <c r="P23" s="658"/>
      <c r="Q23" s="658"/>
      <c r="R23" s="658"/>
      <c r="S23" s="658"/>
      <c r="T23" s="658"/>
      <c r="U23" s="658"/>
      <c r="V23" s="658"/>
      <c r="W23" s="658"/>
      <c r="X23" s="22"/>
      <c r="Y23" s="22"/>
      <c r="Z23" s="22"/>
      <c r="AA23" s="22"/>
      <c r="AB23" s="22"/>
      <c r="AC23" s="22"/>
      <c r="AD23" s="22"/>
      <c r="AE23" s="22"/>
      <c r="AF23" s="22"/>
      <c r="AG23" s="22"/>
      <c r="AH23" s="22"/>
      <c r="AI23" s="22"/>
      <c r="AJ23" s="22"/>
      <c r="AK23" s="22"/>
      <c r="AL23" s="22"/>
      <c r="AM23" s="22"/>
      <c r="AN23" s="22"/>
      <c r="AO23" s="22"/>
      <c r="AP23" s="22"/>
      <c r="AQ23" s="22"/>
    </row>
    <row r="24" spans="1:43" ht="15.75" customHeight="1">
      <c r="A24" s="26"/>
      <c r="B24" s="26"/>
      <c r="C24" s="26"/>
      <c r="D24" s="26"/>
      <c r="E24" s="26"/>
      <c r="F24" s="26"/>
      <c r="G24" s="26"/>
      <c r="H24" s="26"/>
      <c r="I24" s="26"/>
      <c r="J24" s="26"/>
      <c r="K24" s="26"/>
      <c r="L24" s="26"/>
      <c r="M24" s="26"/>
      <c r="N24" s="26"/>
      <c r="O24" s="26"/>
      <c r="P24" s="26"/>
      <c r="Q24" s="26"/>
      <c r="R24" s="26"/>
      <c r="S24" s="26"/>
      <c r="T24" s="26"/>
      <c r="U24" s="26"/>
      <c r="V24" s="26"/>
      <c r="W24" s="26"/>
      <c r="X24" s="22"/>
      <c r="Y24" s="22"/>
      <c r="Z24" s="22"/>
      <c r="AA24" s="22"/>
      <c r="AB24" s="22"/>
      <c r="AC24" s="22"/>
      <c r="AD24" s="22"/>
      <c r="AE24" s="22"/>
      <c r="AF24" s="22"/>
      <c r="AG24" s="22"/>
      <c r="AH24" s="22"/>
      <c r="AI24" s="22"/>
      <c r="AJ24" s="22"/>
      <c r="AK24" s="22"/>
      <c r="AL24" s="22"/>
      <c r="AM24" s="22"/>
      <c r="AN24" s="22"/>
      <c r="AO24" s="22"/>
      <c r="AP24" s="22"/>
      <c r="AQ24" s="22"/>
    </row>
    <row r="25" spans="1:43" ht="15.75" customHeight="1">
      <c r="A25" s="26"/>
      <c r="B25" s="26"/>
      <c r="C25" s="26"/>
      <c r="D25" s="26"/>
      <c r="E25" s="26"/>
      <c r="F25" s="26"/>
      <c r="G25" s="26"/>
      <c r="H25" s="26"/>
      <c r="I25" s="26"/>
      <c r="J25" s="26"/>
      <c r="K25" s="26"/>
      <c r="L25" s="26"/>
      <c r="M25" s="26"/>
      <c r="N25" s="26"/>
      <c r="O25" s="26"/>
      <c r="P25" s="26"/>
      <c r="Q25" s="26"/>
      <c r="R25" s="26"/>
      <c r="S25" s="26"/>
      <c r="T25" s="26"/>
      <c r="U25" s="26"/>
      <c r="V25" s="26"/>
      <c r="W25" s="26"/>
      <c r="X25" s="22"/>
      <c r="Y25" s="22"/>
      <c r="Z25" s="22"/>
      <c r="AA25" s="22"/>
      <c r="AB25" s="22"/>
      <c r="AC25" s="22"/>
      <c r="AD25" s="22"/>
      <c r="AE25" s="22"/>
      <c r="AF25" s="22"/>
      <c r="AG25" s="22"/>
      <c r="AH25" s="22"/>
      <c r="AI25" s="22"/>
      <c r="AJ25" s="22"/>
      <c r="AK25" s="22"/>
      <c r="AL25" s="22"/>
      <c r="AM25" s="22"/>
      <c r="AN25" s="22"/>
      <c r="AO25" s="22"/>
      <c r="AP25" s="22"/>
      <c r="AQ25" s="22"/>
    </row>
    <row r="26" spans="1:43"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2"/>
      <c r="Y26" s="22"/>
      <c r="Z26" s="22"/>
      <c r="AA26" s="22"/>
      <c r="AB26" s="22"/>
      <c r="AC26" s="22"/>
      <c r="AD26" s="22"/>
      <c r="AE26" s="22"/>
      <c r="AF26" s="22"/>
      <c r="AG26" s="22"/>
      <c r="AH26" s="22"/>
      <c r="AI26" s="22"/>
      <c r="AJ26" s="22"/>
      <c r="AK26" s="22"/>
      <c r="AL26" s="22"/>
      <c r="AM26" s="22"/>
      <c r="AN26" s="22"/>
      <c r="AO26" s="22"/>
      <c r="AP26" s="22"/>
      <c r="AQ26" s="22"/>
    </row>
    <row r="27" spans="1:43"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2"/>
      <c r="Y27" s="22"/>
      <c r="Z27" s="22"/>
      <c r="AA27" s="22"/>
      <c r="AB27" s="22"/>
      <c r="AC27" s="22"/>
      <c r="AD27" s="22"/>
      <c r="AE27" s="22"/>
      <c r="AF27" s="22"/>
      <c r="AG27" s="22"/>
      <c r="AH27" s="22"/>
      <c r="AI27" s="22"/>
      <c r="AJ27" s="22"/>
      <c r="AK27" s="22"/>
      <c r="AL27" s="22"/>
      <c r="AM27" s="22"/>
      <c r="AN27" s="22"/>
      <c r="AO27" s="22"/>
      <c r="AP27" s="22"/>
      <c r="AQ27" s="22"/>
    </row>
    <row r="28" spans="1:43"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2"/>
      <c r="Y28" s="22"/>
      <c r="Z28" s="22"/>
      <c r="AA28" s="22"/>
      <c r="AB28" s="22"/>
      <c r="AC28" s="22"/>
      <c r="AD28" s="22"/>
      <c r="AE28" s="22"/>
      <c r="AF28" s="22"/>
      <c r="AG28" s="22"/>
      <c r="AH28" s="22"/>
      <c r="AI28" s="22"/>
      <c r="AJ28" s="22"/>
      <c r="AK28" s="22"/>
      <c r="AL28" s="22"/>
      <c r="AM28" s="22"/>
      <c r="AN28" s="22"/>
      <c r="AO28" s="22"/>
      <c r="AP28" s="22"/>
      <c r="AQ28" s="22"/>
    </row>
    <row r="29" spans="1:43" ht="15.75" customHeight="1">
      <c r="A29" s="26"/>
      <c r="B29" s="26"/>
      <c r="C29" s="26"/>
      <c r="D29" s="26"/>
      <c r="E29" s="26"/>
      <c r="F29" s="26"/>
      <c r="G29" s="26"/>
      <c r="H29" s="26"/>
      <c r="I29" s="26"/>
      <c r="J29" s="26"/>
      <c r="K29" s="26"/>
      <c r="L29" s="26"/>
      <c r="M29" s="26"/>
      <c r="N29" s="26"/>
      <c r="O29" s="26"/>
      <c r="P29" s="26"/>
      <c r="Q29" s="26"/>
      <c r="R29" s="26"/>
      <c r="S29" s="26"/>
      <c r="T29" s="26"/>
      <c r="U29" s="26"/>
      <c r="V29" s="26"/>
      <c r="W29" s="26"/>
      <c r="X29" s="22"/>
      <c r="Y29" s="22"/>
      <c r="Z29" s="22"/>
      <c r="AA29" s="22"/>
      <c r="AB29" s="22"/>
      <c r="AC29" s="22"/>
      <c r="AD29" s="22"/>
      <c r="AE29" s="22"/>
      <c r="AF29" s="22"/>
      <c r="AG29" s="22"/>
      <c r="AH29" s="22"/>
      <c r="AI29" s="22"/>
      <c r="AJ29" s="22"/>
      <c r="AK29" s="22"/>
      <c r="AL29" s="22"/>
      <c r="AM29" s="22"/>
      <c r="AN29" s="22"/>
      <c r="AO29" s="22"/>
      <c r="AP29" s="22"/>
      <c r="AQ29" s="22"/>
    </row>
    <row r="30" spans="1:43"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2"/>
      <c r="Y30" s="22"/>
      <c r="Z30" s="22"/>
      <c r="AA30" s="22"/>
      <c r="AB30" s="22"/>
      <c r="AC30" s="22"/>
      <c r="AD30" s="22"/>
      <c r="AE30" s="22"/>
      <c r="AF30" s="22"/>
      <c r="AG30" s="22"/>
      <c r="AH30" s="22"/>
      <c r="AI30" s="22"/>
      <c r="AJ30" s="22"/>
      <c r="AK30" s="22"/>
      <c r="AL30" s="22"/>
      <c r="AM30" s="22"/>
      <c r="AN30" s="22"/>
      <c r="AO30" s="22"/>
      <c r="AP30" s="22"/>
      <c r="AQ30" s="22"/>
    </row>
    <row r="31" spans="1:43"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2"/>
      <c r="Y31" s="22"/>
      <c r="Z31" s="22"/>
      <c r="AA31" s="22"/>
      <c r="AB31" s="22"/>
      <c r="AC31" s="22"/>
      <c r="AD31" s="22"/>
      <c r="AE31" s="22"/>
      <c r="AF31" s="22"/>
      <c r="AG31" s="22"/>
      <c r="AH31" s="22"/>
      <c r="AI31" s="22"/>
      <c r="AJ31" s="22"/>
      <c r="AK31" s="22"/>
      <c r="AL31" s="22"/>
      <c r="AM31" s="22"/>
      <c r="AN31" s="22"/>
      <c r="AO31" s="22"/>
      <c r="AP31" s="22"/>
      <c r="AQ31" s="22"/>
    </row>
    <row r="32" spans="1:43"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2"/>
      <c r="Y32" s="22"/>
      <c r="Z32" s="22"/>
      <c r="AA32" s="22"/>
      <c r="AB32" s="22"/>
      <c r="AC32" s="22"/>
      <c r="AD32" s="22"/>
      <c r="AE32" s="22"/>
      <c r="AF32" s="22"/>
      <c r="AG32" s="22"/>
      <c r="AH32" s="22"/>
      <c r="AI32" s="22"/>
      <c r="AJ32" s="22"/>
      <c r="AK32" s="22"/>
      <c r="AL32" s="22"/>
      <c r="AM32" s="22"/>
      <c r="AN32" s="22"/>
      <c r="AO32" s="22"/>
      <c r="AP32" s="22"/>
      <c r="AQ32" s="22"/>
    </row>
    <row r="33" spans="1:43"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2"/>
      <c r="Y33" s="22"/>
      <c r="Z33" s="22"/>
      <c r="AA33" s="22"/>
      <c r="AB33" s="22"/>
      <c r="AC33" s="22"/>
      <c r="AD33" s="22"/>
      <c r="AE33" s="22"/>
      <c r="AF33" s="22"/>
      <c r="AG33" s="22"/>
      <c r="AH33" s="22"/>
      <c r="AI33" s="22"/>
      <c r="AJ33" s="22"/>
      <c r="AK33" s="22"/>
      <c r="AL33" s="22"/>
      <c r="AM33" s="22"/>
      <c r="AN33" s="22"/>
      <c r="AO33" s="22"/>
      <c r="AP33" s="22"/>
      <c r="AQ33" s="22"/>
    </row>
    <row r="34" spans="1:43"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2"/>
      <c r="Y34" s="22"/>
      <c r="Z34" s="22"/>
      <c r="AA34" s="22"/>
      <c r="AB34" s="22"/>
      <c r="AC34" s="22"/>
      <c r="AD34" s="22"/>
      <c r="AE34" s="22"/>
      <c r="AF34" s="22"/>
      <c r="AG34" s="22"/>
      <c r="AH34" s="22"/>
      <c r="AI34" s="22"/>
      <c r="AJ34" s="22"/>
      <c r="AK34" s="22"/>
      <c r="AL34" s="22"/>
      <c r="AM34" s="22"/>
      <c r="AN34" s="22"/>
      <c r="AO34" s="22"/>
      <c r="AP34" s="22"/>
      <c r="AQ34" s="22"/>
    </row>
    <row r="35" spans="1:43"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2"/>
      <c r="Y35" s="22"/>
      <c r="Z35" s="22"/>
      <c r="AA35" s="22"/>
      <c r="AB35" s="22"/>
      <c r="AC35" s="22"/>
      <c r="AD35" s="22"/>
      <c r="AE35" s="22"/>
      <c r="AF35" s="22"/>
      <c r="AG35" s="22"/>
      <c r="AH35" s="22"/>
      <c r="AI35" s="22"/>
      <c r="AJ35" s="22"/>
      <c r="AK35" s="22"/>
      <c r="AL35" s="22"/>
      <c r="AM35" s="22"/>
      <c r="AN35" s="22"/>
      <c r="AO35" s="22"/>
      <c r="AP35" s="22"/>
      <c r="AQ35" s="22"/>
    </row>
    <row r="36" spans="1:43"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2"/>
      <c r="Y36" s="22"/>
      <c r="Z36" s="22"/>
      <c r="AA36" s="22"/>
      <c r="AB36" s="22"/>
      <c r="AC36" s="22"/>
      <c r="AD36" s="22"/>
      <c r="AE36" s="22"/>
      <c r="AF36" s="22"/>
      <c r="AG36" s="22"/>
      <c r="AH36" s="22"/>
      <c r="AI36" s="22"/>
      <c r="AJ36" s="22"/>
      <c r="AK36" s="22"/>
      <c r="AL36" s="22"/>
      <c r="AM36" s="22"/>
      <c r="AN36" s="22"/>
      <c r="AO36" s="22"/>
      <c r="AP36" s="22"/>
      <c r="AQ36" s="22"/>
    </row>
    <row r="37" spans="1:43"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2"/>
      <c r="Y37" s="22"/>
      <c r="Z37" s="22"/>
      <c r="AA37" s="22"/>
      <c r="AB37" s="22"/>
      <c r="AC37" s="22"/>
      <c r="AD37" s="22"/>
      <c r="AE37" s="22"/>
      <c r="AF37" s="22"/>
      <c r="AG37" s="22"/>
      <c r="AH37" s="22"/>
      <c r="AI37" s="22"/>
      <c r="AJ37" s="22"/>
      <c r="AK37" s="22"/>
      <c r="AL37" s="22"/>
      <c r="AM37" s="22"/>
      <c r="AN37" s="22"/>
      <c r="AO37" s="22"/>
      <c r="AP37" s="22"/>
      <c r="AQ37" s="22"/>
    </row>
    <row r="38" spans="1:43"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2"/>
      <c r="Y38" s="22"/>
      <c r="Z38" s="22"/>
      <c r="AA38" s="22"/>
      <c r="AB38" s="22"/>
      <c r="AC38" s="22"/>
      <c r="AD38" s="22"/>
      <c r="AE38" s="22"/>
      <c r="AF38" s="22"/>
      <c r="AG38" s="22"/>
      <c r="AH38" s="22"/>
      <c r="AI38" s="22"/>
      <c r="AJ38" s="22"/>
      <c r="AK38" s="22"/>
      <c r="AL38" s="22"/>
      <c r="AM38" s="22"/>
      <c r="AN38" s="22"/>
      <c r="AO38" s="22"/>
      <c r="AP38" s="22"/>
      <c r="AQ38" s="22"/>
    </row>
    <row r="39" spans="1:43"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2"/>
      <c r="Y39" s="22"/>
      <c r="Z39" s="22"/>
      <c r="AA39" s="22"/>
      <c r="AB39" s="22"/>
      <c r="AC39" s="22"/>
      <c r="AD39" s="22"/>
      <c r="AE39" s="22"/>
      <c r="AF39" s="22"/>
      <c r="AG39" s="22"/>
      <c r="AH39" s="22"/>
      <c r="AI39" s="22"/>
      <c r="AJ39" s="22"/>
      <c r="AK39" s="22"/>
      <c r="AL39" s="22"/>
      <c r="AM39" s="22"/>
      <c r="AN39" s="22"/>
      <c r="AO39" s="22"/>
      <c r="AP39" s="22"/>
      <c r="AQ39" s="22"/>
    </row>
    <row r="40" spans="1:43"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2"/>
      <c r="Y40" s="22"/>
      <c r="Z40" s="22"/>
      <c r="AA40" s="22"/>
      <c r="AB40" s="22"/>
      <c r="AC40" s="22"/>
      <c r="AD40" s="22"/>
      <c r="AE40" s="22"/>
      <c r="AF40" s="22"/>
      <c r="AG40" s="22"/>
      <c r="AH40" s="22"/>
      <c r="AI40" s="22"/>
      <c r="AJ40" s="22"/>
      <c r="AK40" s="22"/>
      <c r="AL40" s="22"/>
      <c r="AM40" s="22"/>
      <c r="AN40" s="22"/>
      <c r="AO40" s="22"/>
      <c r="AP40" s="22"/>
      <c r="AQ40" s="22"/>
    </row>
    <row r="41" spans="1:43"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2"/>
      <c r="Y41" s="22"/>
      <c r="Z41" s="22"/>
      <c r="AA41" s="22"/>
      <c r="AB41" s="22"/>
      <c r="AC41" s="22"/>
      <c r="AD41" s="22"/>
      <c r="AE41" s="22"/>
      <c r="AF41" s="22"/>
      <c r="AG41" s="22"/>
      <c r="AH41" s="22"/>
      <c r="AI41" s="22"/>
      <c r="AJ41" s="22"/>
      <c r="AK41" s="22"/>
      <c r="AL41" s="22"/>
      <c r="AM41" s="22"/>
      <c r="AN41" s="22"/>
      <c r="AO41" s="22"/>
      <c r="AP41" s="22"/>
      <c r="AQ41" s="22"/>
    </row>
    <row r="42" spans="1:43"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2"/>
      <c r="Y42" s="22"/>
      <c r="Z42" s="22"/>
      <c r="AA42" s="22"/>
      <c r="AB42" s="22"/>
      <c r="AC42" s="22"/>
      <c r="AD42" s="22"/>
      <c r="AE42" s="22"/>
      <c r="AF42" s="22"/>
      <c r="AG42" s="22"/>
      <c r="AH42" s="22"/>
      <c r="AI42" s="22"/>
      <c r="AJ42" s="22"/>
      <c r="AK42" s="22"/>
      <c r="AL42" s="22"/>
      <c r="AM42" s="22"/>
      <c r="AN42" s="22"/>
      <c r="AO42" s="22"/>
      <c r="AP42" s="22"/>
      <c r="AQ42" s="22"/>
    </row>
    <row r="43" spans="1:43"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2"/>
      <c r="Y43" s="22"/>
      <c r="Z43" s="22"/>
      <c r="AA43" s="22"/>
      <c r="AB43" s="22"/>
      <c r="AC43" s="22"/>
      <c r="AD43" s="22"/>
      <c r="AE43" s="22"/>
      <c r="AF43" s="22"/>
      <c r="AG43" s="22"/>
      <c r="AH43" s="22"/>
      <c r="AI43" s="22"/>
      <c r="AJ43" s="22"/>
      <c r="AK43" s="22"/>
      <c r="AL43" s="22"/>
      <c r="AM43" s="22"/>
      <c r="AN43" s="22"/>
      <c r="AO43" s="22"/>
      <c r="AP43" s="22"/>
      <c r="AQ43" s="22"/>
    </row>
    <row r="44" spans="1:43"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2"/>
      <c r="Y44" s="22"/>
      <c r="Z44" s="22"/>
      <c r="AA44" s="22"/>
      <c r="AB44" s="22"/>
      <c r="AC44" s="22"/>
      <c r="AD44" s="22"/>
      <c r="AE44" s="22"/>
      <c r="AF44" s="22"/>
      <c r="AG44" s="22"/>
      <c r="AH44" s="22"/>
      <c r="AI44" s="22"/>
      <c r="AJ44" s="22"/>
      <c r="AK44" s="22"/>
      <c r="AL44" s="22"/>
      <c r="AM44" s="22"/>
      <c r="AN44" s="22"/>
      <c r="AO44" s="22"/>
      <c r="AP44" s="22"/>
      <c r="AQ44" s="22"/>
    </row>
    <row r="45" spans="1:43"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2"/>
      <c r="Y45" s="22"/>
      <c r="Z45" s="22"/>
      <c r="AA45" s="22"/>
      <c r="AB45" s="22"/>
      <c r="AC45" s="22"/>
      <c r="AD45" s="22"/>
      <c r="AE45" s="22"/>
      <c r="AF45" s="22"/>
      <c r="AG45" s="22"/>
      <c r="AH45" s="22"/>
      <c r="AI45" s="22"/>
      <c r="AJ45" s="22"/>
      <c r="AK45" s="22"/>
      <c r="AL45" s="22"/>
      <c r="AM45" s="22"/>
      <c r="AN45" s="22"/>
      <c r="AO45" s="22"/>
      <c r="AP45" s="22"/>
      <c r="AQ45" s="22"/>
    </row>
    <row r="46" spans="1:43"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2"/>
      <c r="Y46" s="22"/>
      <c r="Z46" s="22"/>
      <c r="AA46" s="22"/>
      <c r="AB46" s="22"/>
      <c r="AC46" s="22"/>
      <c r="AD46" s="22"/>
      <c r="AE46" s="22"/>
      <c r="AF46" s="22"/>
      <c r="AG46" s="22"/>
      <c r="AH46" s="22"/>
      <c r="AI46" s="22"/>
      <c r="AJ46" s="22"/>
      <c r="AK46" s="22"/>
      <c r="AL46" s="22"/>
      <c r="AM46" s="22"/>
      <c r="AN46" s="22"/>
      <c r="AO46" s="22"/>
      <c r="AP46" s="22"/>
      <c r="AQ46" s="22"/>
    </row>
    <row r="47" spans="1:43"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2"/>
      <c r="Y47" s="22"/>
      <c r="Z47" s="22"/>
      <c r="AA47" s="22"/>
      <c r="AB47" s="22"/>
      <c r="AC47" s="22"/>
      <c r="AD47" s="22"/>
      <c r="AE47" s="22"/>
      <c r="AF47" s="22"/>
      <c r="AG47" s="22"/>
      <c r="AH47" s="22"/>
      <c r="AI47" s="22"/>
      <c r="AJ47" s="22"/>
      <c r="AK47" s="22"/>
      <c r="AL47" s="22"/>
      <c r="AM47" s="22"/>
      <c r="AN47" s="22"/>
      <c r="AO47" s="22"/>
      <c r="AP47" s="22"/>
      <c r="AQ47" s="22"/>
    </row>
    <row r="48" spans="1:43"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2"/>
      <c r="Y48" s="22"/>
      <c r="Z48" s="22"/>
      <c r="AA48" s="22"/>
      <c r="AB48" s="22"/>
      <c r="AC48" s="22"/>
      <c r="AD48" s="22"/>
      <c r="AE48" s="22"/>
      <c r="AF48" s="22"/>
      <c r="AG48" s="22"/>
      <c r="AH48" s="22"/>
      <c r="AI48" s="22"/>
      <c r="AJ48" s="22"/>
      <c r="AK48" s="22"/>
      <c r="AL48" s="22"/>
      <c r="AM48" s="22"/>
      <c r="AN48" s="22"/>
      <c r="AO48" s="22"/>
      <c r="AP48" s="22"/>
      <c r="AQ48" s="22"/>
    </row>
    <row r="49" spans="1:43"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2"/>
      <c r="Y49" s="22"/>
      <c r="Z49" s="22"/>
      <c r="AA49" s="22"/>
      <c r="AB49" s="22"/>
      <c r="AC49" s="22"/>
      <c r="AD49" s="22"/>
      <c r="AE49" s="22"/>
      <c r="AF49" s="22"/>
      <c r="AG49" s="22"/>
      <c r="AH49" s="22"/>
      <c r="AI49" s="22"/>
      <c r="AJ49" s="22"/>
      <c r="AK49" s="22"/>
      <c r="AL49" s="22"/>
      <c r="AM49" s="22"/>
      <c r="AN49" s="22"/>
      <c r="AO49" s="22"/>
      <c r="AP49" s="22"/>
      <c r="AQ49" s="22"/>
    </row>
    <row r="50" spans="1:43"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2"/>
      <c r="Y50" s="22"/>
      <c r="Z50" s="22"/>
      <c r="AA50" s="22"/>
      <c r="AB50" s="22"/>
      <c r="AC50" s="22"/>
      <c r="AD50" s="22"/>
      <c r="AE50" s="22"/>
      <c r="AF50" s="22"/>
      <c r="AG50" s="22"/>
      <c r="AH50" s="22"/>
      <c r="AI50" s="22"/>
      <c r="AJ50" s="22"/>
      <c r="AK50" s="22"/>
      <c r="AL50" s="22"/>
      <c r="AM50" s="22"/>
      <c r="AN50" s="22"/>
      <c r="AO50" s="22"/>
      <c r="AP50" s="22"/>
      <c r="AQ50" s="22"/>
    </row>
    <row r="51" spans="1:43"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2"/>
      <c r="Y51" s="22"/>
      <c r="Z51" s="22"/>
      <c r="AA51" s="22"/>
      <c r="AB51" s="22"/>
      <c r="AC51" s="22"/>
      <c r="AD51" s="22"/>
      <c r="AE51" s="22"/>
      <c r="AF51" s="22"/>
      <c r="AG51" s="22"/>
      <c r="AH51" s="22"/>
      <c r="AI51" s="22"/>
      <c r="AJ51" s="22"/>
      <c r="AK51" s="22"/>
      <c r="AL51" s="22"/>
      <c r="AM51" s="22"/>
      <c r="AN51" s="22"/>
      <c r="AO51" s="22"/>
      <c r="AP51" s="22"/>
      <c r="AQ51" s="22"/>
    </row>
    <row r="52" spans="1:43"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2"/>
      <c r="Y52" s="22"/>
      <c r="Z52" s="22"/>
      <c r="AA52" s="22"/>
      <c r="AB52" s="22"/>
      <c r="AC52" s="22"/>
      <c r="AD52" s="22"/>
      <c r="AE52" s="22"/>
      <c r="AF52" s="22"/>
      <c r="AG52" s="22"/>
      <c r="AH52" s="22"/>
      <c r="AI52" s="22"/>
      <c r="AJ52" s="22"/>
      <c r="AK52" s="22"/>
      <c r="AL52" s="22"/>
      <c r="AM52" s="22"/>
      <c r="AN52" s="22"/>
      <c r="AO52" s="22"/>
      <c r="AP52" s="22"/>
      <c r="AQ52" s="22"/>
    </row>
    <row r="53" spans="1:43"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2"/>
      <c r="Y53" s="22"/>
      <c r="Z53" s="22"/>
      <c r="AA53" s="22"/>
      <c r="AB53" s="22"/>
      <c r="AC53" s="22"/>
      <c r="AD53" s="22"/>
      <c r="AE53" s="22"/>
      <c r="AF53" s="22"/>
      <c r="AG53" s="22"/>
      <c r="AH53" s="22"/>
      <c r="AI53" s="22"/>
      <c r="AJ53" s="22"/>
      <c r="AK53" s="22"/>
      <c r="AL53" s="22"/>
      <c r="AM53" s="22"/>
      <c r="AN53" s="22"/>
      <c r="AO53" s="22"/>
      <c r="AP53" s="22"/>
      <c r="AQ53" s="22"/>
    </row>
    <row r="54" spans="1:43"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2"/>
      <c r="Y54" s="22"/>
      <c r="Z54" s="22"/>
      <c r="AA54" s="22"/>
      <c r="AB54" s="22"/>
      <c r="AC54" s="22"/>
      <c r="AD54" s="22"/>
      <c r="AE54" s="22"/>
      <c r="AF54" s="22"/>
      <c r="AG54" s="22"/>
      <c r="AH54" s="22"/>
      <c r="AI54" s="22"/>
      <c r="AJ54" s="22"/>
      <c r="AK54" s="22"/>
      <c r="AL54" s="22"/>
      <c r="AM54" s="22"/>
      <c r="AN54" s="22"/>
      <c r="AO54" s="22"/>
      <c r="AP54" s="22"/>
      <c r="AQ54" s="22"/>
    </row>
    <row r="55" spans="1:43"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2"/>
      <c r="Y55" s="22"/>
      <c r="Z55" s="22"/>
      <c r="AA55" s="22"/>
      <c r="AB55" s="22"/>
      <c r="AC55" s="22"/>
      <c r="AD55" s="22"/>
      <c r="AE55" s="22"/>
      <c r="AF55" s="22"/>
      <c r="AG55" s="22"/>
      <c r="AH55" s="22"/>
      <c r="AI55" s="22"/>
      <c r="AJ55" s="22"/>
      <c r="AK55" s="22"/>
      <c r="AL55" s="22"/>
      <c r="AM55" s="22"/>
      <c r="AN55" s="22"/>
      <c r="AO55" s="22"/>
      <c r="AP55" s="22"/>
      <c r="AQ55" s="22"/>
    </row>
    <row r="56" spans="1:43"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2"/>
      <c r="Y56" s="22"/>
      <c r="Z56" s="22"/>
      <c r="AA56" s="22"/>
      <c r="AB56" s="22"/>
      <c r="AC56" s="22"/>
      <c r="AD56" s="22"/>
      <c r="AE56" s="22"/>
      <c r="AF56" s="22"/>
      <c r="AG56" s="22"/>
      <c r="AH56" s="22"/>
      <c r="AI56" s="22"/>
      <c r="AJ56" s="22"/>
      <c r="AK56" s="22"/>
      <c r="AL56" s="22"/>
      <c r="AM56" s="22"/>
      <c r="AN56" s="22"/>
      <c r="AO56" s="22"/>
      <c r="AP56" s="22"/>
      <c r="AQ56" s="22"/>
    </row>
    <row r="57" spans="1:43"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2"/>
      <c r="Y57" s="22"/>
      <c r="Z57" s="22"/>
      <c r="AA57" s="22"/>
      <c r="AB57" s="22"/>
      <c r="AC57" s="22"/>
      <c r="AD57" s="22"/>
      <c r="AE57" s="22"/>
      <c r="AF57" s="22"/>
      <c r="AG57" s="22"/>
      <c r="AH57" s="22"/>
      <c r="AI57" s="22"/>
      <c r="AJ57" s="22"/>
      <c r="AK57" s="22"/>
      <c r="AL57" s="22"/>
      <c r="AM57" s="22"/>
      <c r="AN57" s="22"/>
      <c r="AO57" s="22"/>
      <c r="AP57" s="22"/>
      <c r="AQ57" s="22"/>
    </row>
    <row r="58" spans="1:43"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2"/>
      <c r="Y58" s="22"/>
      <c r="Z58" s="22"/>
      <c r="AA58" s="22"/>
      <c r="AB58" s="22"/>
      <c r="AC58" s="22"/>
      <c r="AD58" s="22"/>
      <c r="AE58" s="22"/>
      <c r="AF58" s="22"/>
      <c r="AG58" s="22"/>
      <c r="AH58" s="22"/>
      <c r="AI58" s="22"/>
      <c r="AJ58" s="22"/>
      <c r="AK58" s="22"/>
      <c r="AL58" s="22"/>
      <c r="AM58" s="22"/>
      <c r="AN58" s="22"/>
      <c r="AO58" s="22"/>
      <c r="AP58" s="22"/>
      <c r="AQ58" s="22"/>
    </row>
    <row r="59" spans="1:43"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2"/>
      <c r="Y59" s="22"/>
      <c r="Z59" s="22"/>
      <c r="AA59" s="22"/>
      <c r="AB59" s="22"/>
      <c r="AC59" s="22"/>
      <c r="AD59" s="22"/>
      <c r="AE59" s="22"/>
      <c r="AF59" s="22"/>
      <c r="AG59" s="22"/>
      <c r="AH59" s="22"/>
      <c r="AI59" s="22"/>
      <c r="AJ59" s="22"/>
      <c r="AK59" s="22"/>
      <c r="AL59" s="22"/>
      <c r="AM59" s="22"/>
      <c r="AN59" s="22"/>
      <c r="AO59" s="22"/>
      <c r="AP59" s="22"/>
      <c r="AQ59" s="22"/>
    </row>
    <row r="60" spans="1:43"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2"/>
      <c r="Y60" s="22"/>
      <c r="Z60" s="22"/>
      <c r="AA60" s="22"/>
      <c r="AB60" s="22"/>
      <c r="AC60" s="22"/>
      <c r="AD60" s="22"/>
      <c r="AE60" s="22"/>
      <c r="AF60" s="22"/>
      <c r="AG60" s="22"/>
      <c r="AH60" s="22"/>
      <c r="AI60" s="22"/>
      <c r="AJ60" s="22"/>
      <c r="AK60" s="22"/>
      <c r="AL60" s="22"/>
      <c r="AM60" s="22"/>
      <c r="AN60" s="22"/>
      <c r="AO60" s="22"/>
      <c r="AP60" s="22"/>
      <c r="AQ60" s="22"/>
    </row>
    <row r="61" spans="1:43"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2"/>
      <c r="Y61" s="22"/>
      <c r="Z61" s="22"/>
      <c r="AA61" s="22"/>
      <c r="AB61" s="22"/>
      <c r="AC61" s="22"/>
      <c r="AD61" s="22"/>
      <c r="AE61" s="22"/>
      <c r="AF61" s="22"/>
      <c r="AG61" s="22"/>
      <c r="AH61" s="22"/>
      <c r="AI61" s="22"/>
      <c r="AJ61" s="22"/>
      <c r="AK61" s="22"/>
      <c r="AL61" s="22"/>
      <c r="AM61" s="22"/>
      <c r="AN61" s="22"/>
      <c r="AO61" s="22"/>
      <c r="AP61" s="22"/>
      <c r="AQ61" s="22"/>
    </row>
    <row r="62" spans="1:43"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2"/>
      <c r="Y62" s="22"/>
      <c r="Z62" s="22"/>
      <c r="AA62" s="22"/>
      <c r="AB62" s="22"/>
      <c r="AC62" s="22"/>
      <c r="AD62" s="22"/>
      <c r="AE62" s="22"/>
      <c r="AF62" s="22"/>
      <c r="AG62" s="22"/>
      <c r="AH62" s="22"/>
      <c r="AI62" s="22"/>
      <c r="AJ62" s="22"/>
      <c r="AK62" s="22"/>
      <c r="AL62" s="22"/>
      <c r="AM62" s="22"/>
      <c r="AN62" s="22"/>
      <c r="AO62" s="22"/>
      <c r="AP62" s="22"/>
      <c r="AQ62" s="22"/>
    </row>
    <row r="63" spans="1:43"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2"/>
      <c r="Y63" s="22"/>
      <c r="Z63" s="22"/>
      <c r="AA63" s="22"/>
      <c r="AB63" s="22"/>
      <c r="AC63" s="22"/>
      <c r="AD63" s="22"/>
      <c r="AE63" s="22"/>
      <c r="AF63" s="22"/>
      <c r="AG63" s="22"/>
      <c r="AH63" s="22"/>
      <c r="AI63" s="22"/>
      <c r="AJ63" s="22"/>
      <c r="AK63" s="22"/>
      <c r="AL63" s="22"/>
      <c r="AM63" s="22"/>
      <c r="AN63" s="22"/>
      <c r="AO63" s="22"/>
      <c r="AP63" s="22"/>
      <c r="AQ63" s="22"/>
    </row>
    <row r="64" spans="1:43"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2"/>
      <c r="Y64" s="22"/>
      <c r="Z64" s="22"/>
      <c r="AA64" s="22"/>
      <c r="AB64" s="22"/>
      <c r="AC64" s="22"/>
      <c r="AD64" s="22"/>
      <c r="AE64" s="22"/>
      <c r="AF64" s="22"/>
      <c r="AG64" s="22"/>
      <c r="AH64" s="22"/>
      <c r="AI64" s="22"/>
      <c r="AJ64" s="22"/>
      <c r="AK64" s="22"/>
      <c r="AL64" s="22"/>
      <c r="AM64" s="22"/>
      <c r="AN64" s="22"/>
      <c r="AO64" s="22"/>
      <c r="AP64" s="22"/>
      <c r="AQ64" s="22"/>
    </row>
    <row r="65" spans="1:43"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2"/>
      <c r="Y65" s="22"/>
      <c r="Z65" s="22"/>
      <c r="AA65" s="22"/>
      <c r="AB65" s="22"/>
      <c r="AC65" s="22"/>
      <c r="AD65" s="22"/>
      <c r="AE65" s="22"/>
      <c r="AF65" s="22"/>
      <c r="AG65" s="22"/>
      <c r="AH65" s="22"/>
      <c r="AI65" s="22"/>
      <c r="AJ65" s="22"/>
      <c r="AK65" s="22"/>
      <c r="AL65" s="22"/>
      <c r="AM65" s="22"/>
      <c r="AN65" s="22"/>
      <c r="AO65" s="22"/>
      <c r="AP65" s="22"/>
      <c r="AQ65" s="22"/>
    </row>
    <row r="66" spans="1:43"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2"/>
      <c r="Y66" s="22"/>
      <c r="Z66" s="22"/>
      <c r="AA66" s="22"/>
      <c r="AB66" s="22"/>
      <c r="AC66" s="22"/>
      <c r="AD66" s="22"/>
      <c r="AE66" s="22"/>
      <c r="AF66" s="22"/>
      <c r="AG66" s="22"/>
      <c r="AH66" s="22"/>
      <c r="AI66" s="22"/>
      <c r="AJ66" s="22"/>
      <c r="AK66" s="22"/>
      <c r="AL66" s="22"/>
      <c r="AM66" s="22"/>
      <c r="AN66" s="22"/>
      <c r="AO66" s="22"/>
      <c r="AP66" s="22"/>
      <c r="AQ66" s="22"/>
    </row>
    <row r="67" spans="1:43"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2"/>
      <c r="Y67" s="22"/>
      <c r="Z67" s="22"/>
      <c r="AA67" s="22"/>
      <c r="AB67" s="22"/>
      <c r="AC67" s="22"/>
      <c r="AD67" s="22"/>
      <c r="AE67" s="22"/>
      <c r="AF67" s="22"/>
      <c r="AG67" s="22"/>
      <c r="AH67" s="22"/>
      <c r="AI67" s="22"/>
      <c r="AJ67" s="22"/>
      <c r="AK67" s="22"/>
      <c r="AL67" s="22"/>
      <c r="AM67" s="22"/>
      <c r="AN67" s="22"/>
      <c r="AO67" s="22"/>
      <c r="AP67" s="22"/>
      <c r="AQ67" s="22"/>
    </row>
    <row r="68" spans="1:43"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2"/>
      <c r="Y68" s="22"/>
      <c r="Z68" s="22"/>
      <c r="AA68" s="22"/>
      <c r="AB68" s="22"/>
      <c r="AC68" s="22"/>
      <c r="AD68" s="22"/>
      <c r="AE68" s="22"/>
      <c r="AF68" s="22"/>
      <c r="AG68" s="22"/>
      <c r="AH68" s="22"/>
      <c r="AI68" s="22"/>
      <c r="AJ68" s="22"/>
      <c r="AK68" s="22"/>
      <c r="AL68" s="22"/>
      <c r="AM68" s="22"/>
      <c r="AN68" s="22"/>
      <c r="AO68" s="22"/>
      <c r="AP68" s="22"/>
      <c r="AQ68" s="22"/>
    </row>
    <row r="69" spans="1:43"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2"/>
      <c r="Y69" s="22"/>
      <c r="Z69" s="22"/>
      <c r="AA69" s="22"/>
      <c r="AB69" s="22"/>
      <c r="AC69" s="22"/>
      <c r="AD69" s="22"/>
      <c r="AE69" s="22"/>
      <c r="AF69" s="22"/>
      <c r="AG69" s="22"/>
      <c r="AH69" s="22"/>
      <c r="AI69" s="22"/>
      <c r="AJ69" s="22"/>
      <c r="AK69" s="22"/>
      <c r="AL69" s="22"/>
      <c r="AM69" s="22"/>
      <c r="AN69" s="22"/>
      <c r="AO69" s="22"/>
      <c r="AP69" s="22"/>
      <c r="AQ69" s="22"/>
    </row>
    <row r="70" spans="1:43"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2"/>
      <c r="Y70" s="22"/>
      <c r="Z70" s="22"/>
      <c r="AA70" s="22"/>
      <c r="AB70" s="22"/>
      <c r="AC70" s="22"/>
      <c r="AD70" s="22"/>
      <c r="AE70" s="22"/>
      <c r="AF70" s="22"/>
      <c r="AG70" s="22"/>
      <c r="AH70" s="22"/>
      <c r="AI70" s="22"/>
      <c r="AJ70" s="22"/>
      <c r="AK70" s="22"/>
      <c r="AL70" s="22"/>
      <c r="AM70" s="22"/>
      <c r="AN70" s="22"/>
      <c r="AO70" s="22"/>
      <c r="AP70" s="22"/>
      <c r="AQ70" s="22"/>
    </row>
    <row r="71" spans="1:43"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2"/>
      <c r="Y71" s="22"/>
      <c r="Z71" s="22"/>
      <c r="AA71" s="22"/>
      <c r="AB71" s="22"/>
      <c r="AC71" s="22"/>
      <c r="AD71" s="22"/>
      <c r="AE71" s="22"/>
      <c r="AF71" s="22"/>
      <c r="AG71" s="22"/>
      <c r="AH71" s="22"/>
      <c r="AI71" s="22"/>
      <c r="AJ71" s="22"/>
      <c r="AK71" s="22"/>
      <c r="AL71" s="22"/>
      <c r="AM71" s="22"/>
      <c r="AN71" s="22"/>
      <c r="AO71" s="22"/>
      <c r="AP71" s="22"/>
      <c r="AQ71" s="22"/>
    </row>
    <row r="72" spans="1:43"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2"/>
      <c r="Y72" s="22"/>
      <c r="Z72" s="22"/>
      <c r="AA72" s="22"/>
      <c r="AB72" s="22"/>
      <c r="AC72" s="22"/>
      <c r="AD72" s="22"/>
      <c r="AE72" s="22"/>
      <c r="AF72" s="22"/>
      <c r="AG72" s="22"/>
      <c r="AH72" s="22"/>
      <c r="AI72" s="22"/>
      <c r="AJ72" s="22"/>
      <c r="AK72" s="22"/>
      <c r="AL72" s="22"/>
      <c r="AM72" s="22"/>
      <c r="AN72" s="22"/>
      <c r="AO72" s="22"/>
      <c r="AP72" s="22"/>
      <c r="AQ72" s="22"/>
    </row>
    <row r="73" spans="1:43"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2"/>
      <c r="Y73" s="22"/>
      <c r="Z73" s="22"/>
      <c r="AA73" s="22"/>
      <c r="AB73" s="22"/>
      <c r="AC73" s="22"/>
      <c r="AD73" s="22"/>
      <c r="AE73" s="22"/>
      <c r="AF73" s="22"/>
      <c r="AG73" s="22"/>
      <c r="AH73" s="22"/>
      <c r="AI73" s="22"/>
      <c r="AJ73" s="22"/>
      <c r="AK73" s="22"/>
      <c r="AL73" s="22"/>
      <c r="AM73" s="22"/>
      <c r="AN73" s="22"/>
      <c r="AO73" s="22"/>
      <c r="AP73" s="22"/>
      <c r="AQ73" s="22"/>
    </row>
    <row r="74" spans="1:43"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2"/>
      <c r="Y74" s="22"/>
      <c r="Z74" s="22"/>
      <c r="AA74" s="22"/>
      <c r="AB74" s="22"/>
      <c r="AC74" s="22"/>
      <c r="AD74" s="22"/>
      <c r="AE74" s="22"/>
      <c r="AF74" s="22"/>
      <c r="AG74" s="22"/>
      <c r="AH74" s="22"/>
      <c r="AI74" s="22"/>
      <c r="AJ74" s="22"/>
      <c r="AK74" s="22"/>
      <c r="AL74" s="22"/>
      <c r="AM74" s="22"/>
      <c r="AN74" s="22"/>
      <c r="AO74" s="22"/>
      <c r="AP74" s="22"/>
      <c r="AQ74" s="22"/>
    </row>
    <row r="75" spans="1:43"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2"/>
      <c r="Y75" s="22"/>
      <c r="Z75" s="22"/>
      <c r="AA75" s="22"/>
      <c r="AB75" s="22"/>
      <c r="AC75" s="22"/>
      <c r="AD75" s="22"/>
      <c r="AE75" s="22"/>
      <c r="AF75" s="22"/>
      <c r="AG75" s="22"/>
      <c r="AH75" s="22"/>
      <c r="AI75" s="22"/>
      <c r="AJ75" s="22"/>
      <c r="AK75" s="22"/>
      <c r="AL75" s="22"/>
      <c r="AM75" s="22"/>
      <c r="AN75" s="22"/>
      <c r="AO75" s="22"/>
      <c r="AP75" s="22"/>
      <c r="AQ75" s="22"/>
    </row>
    <row r="76" spans="1:43"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2"/>
      <c r="Y76" s="22"/>
      <c r="Z76" s="22"/>
      <c r="AA76" s="22"/>
      <c r="AB76" s="22"/>
      <c r="AC76" s="22"/>
      <c r="AD76" s="22"/>
      <c r="AE76" s="22"/>
      <c r="AF76" s="22"/>
      <c r="AG76" s="22"/>
      <c r="AH76" s="22"/>
      <c r="AI76" s="22"/>
      <c r="AJ76" s="22"/>
      <c r="AK76" s="22"/>
      <c r="AL76" s="22"/>
      <c r="AM76" s="22"/>
      <c r="AN76" s="22"/>
      <c r="AO76" s="22"/>
      <c r="AP76" s="22"/>
      <c r="AQ76" s="22"/>
    </row>
    <row r="77" spans="1:43"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2"/>
      <c r="Y77" s="22"/>
      <c r="Z77" s="22"/>
      <c r="AA77" s="22"/>
      <c r="AB77" s="22"/>
      <c r="AC77" s="22"/>
      <c r="AD77" s="22"/>
      <c r="AE77" s="22"/>
      <c r="AF77" s="22"/>
      <c r="AG77" s="22"/>
      <c r="AH77" s="22"/>
      <c r="AI77" s="22"/>
      <c r="AJ77" s="22"/>
      <c r="AK77" s="22"/>
      <c r="AL77" s="22"/>
      <c r="AM77" s="22"/>
      <c r="AN77" s="22"/>
      <c r="AO77" s="22"/>
      <c r="AP77" s="22"/>
      <c r="AQ77" s="22"/>
    </row>
    <row r="78" spans="1:43"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2"/>
      <c r="Y78" s="22"/>
      <c r="Z78" s="22"/>
      <c r="AA78" s="22"/>
      <c r="AB78" s="22"/>
      <c r="AC78" s="22"/>
      <c r="AD78" s="22"/>
      <c r="AE78" s="22"/>
      <c r="AF78" s="22"/>
      <c r="AG78" s="22"/>
      <c r="AH78" s="22"/>
      <c r="AI78" s="22"/>
      <c r="AJ78" s="22"/>
      <c r="AK78" s="22"/>
      <c r="AL78" s="22"/>
      <c r="AM78" s="22"/>
      <c r="AN78" s="22"/>
      <c r="AO78" s="22"/>
      <c r="AP78" s="22"/>
      <c r="AQ78" s="22"/>
    </row>
    <row r="79" spans="1:43"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2"/>
      <c r="Y79" s="22"/>
      <c r="Z79" s="22"/>
      <c r="AA79" s="22"/>
      <c r="AB79" s="22"/>
      <c r="AC79" s="22"/>
      <c r="AD79" s="22"/>
      <c r="AE79" s="22"/>
      <c r="AF79" s="22"/>
      <c r="AG79" s="22"/>
      <c r="AH79" s="22"/>
      <c r="AI79" s="22"/>
      <c r="AJ79" s="22"/>
      <c r="AK79" s="22"/>
      <c r="AL79" s="22"/>
      <c r="AM79" s="22"/>
      <c r="AN79" s="22"/>
      <c r="AO79" s="22"/>
      <c r="AP79" s="22"/>
      <c r="AQ79" s="22"/>
    </row>
    <row r="80" spans="1:43"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2"/>
      <c r="Y80" s="22"/>
      <c r="Z80" s="22"/>
      <c r="AA80" s="22"/>
      <c r="AB80" s="22"/>
      <c r="AC80" s="22"/>
      <c r="AD80" s="22"/>
      <c r="AE80" s="22"/>
      <c r="AF80" s="22"/>
      <c r="AG80" s="22"/>
      <c r="AH80" s="22"/>
      <c r="AI80" s="22"/>
      <c r="AJ80" s="22"/>
      <c r="AK80" s="22"/>
      <c r="AL80" s="22"/>
      <c r="AM80" s="22"/>
      <c r="AN80" s="22"/>
      <c r="AO80" s="22"/>
      <c r="AP80" s="22"/>
      <c r="AQ80" s="22"/>
    </row>
    <row r="81" spans="1:43"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2"/>
      <c r="Y81" s="22"/>
      <c r="Z81" s="22"/>
      <c r="AA81" s="22"/>
      <c r="AB81" s="22"/>
      <c r="AC81" s="22"/>
      <c r="AD81" s="22"/>
      <c r="AE81" s="22"/>
      <c r="AF81" s="22"/>
      <c r="AG81" s="22"/>
      <c r="AH81" s="22"/>
      <c r="AI81" s="22"/>
      <c r="AJ81" s="22"/>
      <c r="AK81" s="22"/>
      <c r="AL81" s="22"/>
      <c r="AM81" s="22"/>
      <c r="AN81" s="22"/>
      <c r="AO81" s="22"/>
      <c r="AP81" s="22"/>
      <c r="AQ81" s="22"/>
    </row>
    <row r="82" spans="1:43"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2"/>
      <c r="Y82" s="22"/>
      <c r="Z82" s="22"/>
      <c r="AA82" s="22"/>
      <c r="AB82" s="22"/>
      <c r="AC82" s="22"/>
      <c r="AD82" s="22"/>
      <c r="AE82" s="22"/>
      <c r="AF82" s="22"/>
      <c r="AG82" s="22"/>
      <c r="AH82" s="22"/>
      <c r="AI82" s="22"/>
      <c r="AJ82" s="22"/>
      <c r="AK82" s="22"/>
      <c r="AL82" s="22"/>
      <c r="AM82" s="22"/>
      <c r="AN82" s="22"/>
      <c r="AO82" s="22"/>
      <c r="AP82" s="22"/>
      <c r="AQ82" s="22"/>
    </row>
    <row r="83" spans="1:43"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2"/>
      <c r="Y83" s="22"/>
      <c r="Z83" s="22"/>
      <c r="AA83" s="22"/>
      <c r="AB83" s="22"/>
      <c r="AC83" s="22"/>
      <c r="AD83" s="22"/>
      <c r="AE83" s="22"/>
      <c r="AF83" s="22"/>
      <c r="AG83" s="22"/>
      <c r="AH83" s="22"/>
      <c r="AI83" s="22"/>
      <c r="AJ83" s="22"/>
      <c r="AK83" s="22"/>
      <c r="AL83" s="22"/>
      <c r="AM83" s="22"/>
      <c r="AN83" s="22"/>
      <c r="AO83" s="22"/>
      <c r="AP83" s="22"/>
      <c r="AQ83" s="22"/>
    </row>
    <row r="84" spans="1:43"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2"/>
      <c r="Y84" s="22"/>
      <c r="Z84" s="22"/>
      <c r="AA84" s="22"/>
      <c r="AB84" s="22"/>
      <c r="AC84" s="22"/>
      <c r="AD84" s="22"/>
      <c r="AE84" s="22"/>
      <c r="AF84" s="22"/>
      <c r="AG84" s="22"/>
      <c r="AH84" s="22"/>
      <c r="AI84" s="22"/>
      <c r="AJ84" s="22"/>
      <c r="AK84" s="22"/>
      <c r="AL84" s="22"/>
      <c r="AM84" s="22"/>
      <c r="AN84" s="22"/>
      <c r="AO84" s="22"/>
      <c r="AP84" s="22"/>
      <c r="AQ84" s="22"/>
    </row>
    <row r="85" spans="1:43"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2"/>
      <c r="Y85" s="22"/>
      <c r="Z85" s="22"/>
      <c r="AA85" s="22"/>
      <c r="AB85" s="22"/>
      <c r="AC85" s="22"/>
      <c r="AD85" s="22"/>
      <c r="AE85" s="22"/>
      <c r="AF85" s="22"/>
      <c r="AG85" s="22"/>
      <c r="AH85" s="22"/>
      <c r="AI85" s="22"/>
      <c r="AJ85" s="22"/>
      <c r="AK85" s="22"/>
      <c r="AL85" s="22"/>
      <c r="AM85" s="22"/>
      <c r="AN85" s="22"/>
      <c r="AO85" s="22"/>
      <c r="AP85" s="22"/>
      <c r="AQ85" s="22"/>
    </row>
    <row r="86" spans="1:43"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2"/>
      <c r="Y86" s="22"/>
      <c r="Z86" s="22"/>
      <c r="AA86" s="22"/>
      <c r="AB86" s="22"/>
      <c r="AC86" s="22"/>
      <c r="AD86" s="22"/>
      <c r="AE86" s="22"/>
      <c r="AF86" s="22"/>
      <c r="AG86" s="22"/>
      <c r="AH86" s="22"/>
      <c r="AI86" s="22"/>
      <c r="AJ86" s="22"/>
      <c r="AK86" s="22"/>
      <c r="AL86" s="22"/>
      <c r="AM86" s="22"/>
      <c r="AN86" s="22"/>
      <c r="AO86" s="22"/>
      <c r="AP86" s="22"/>
      <c r="AQ86" s="22"/>
    </row>
    <row r="87" spans="1:43"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2"/>
      <c r="Y87" s="22"/>
      <c r="Z87" s="22"/>
      <c r="AA87" s="22"/>
      <c r="AB87" s="22"/>
      <c r="AC87" s="22"/>
      <c r="AD87" s="22"/>
      <c r="AE87" s="22"/>
      <c r="AF87" s="22"/>
      <c r="AG87" s="22"/>
      <c r="AH87" s="22"/>
      <c r="AI87" s="22"/>
      <c r="AJ87" s="22"/>
      <c r="AK87" s="22"/>
      <c r="AL87" s="22"/>
      <c r="AM87" s="22"/>
      <c r="AN87" s="22"/>
      <c r="AO87" s="22"/>
      <c r="AP87" s="22"/>
      <c r="AQ87" s="22"/>
    </row>
    <row r="88" spans="1:43"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2"/>
      <c r="Y88" s="22"/>
      <c r="Z88" s="22"/>
      <c r="AA88" s="22"/>
      <c r="AB88" s="22"/>
      <c r="AC88" s="22"/>
      <c r="AD88" s="22"/>
      <c r="AE88" s="22"/>
      <c r="AF88" s="22"/>
      <c r="AG88" s="22"/>
      <c r="AH88" s="22"/>
      <c r="AI88" s="22"/>
      <c r="AJ88" s="22"/>
      <c r="AK88" s="22"/>
      <c r="AL88" s="22"/>
      <c r="AM88" s="22"/>
      <c r="AN88" s="22"/>
      <c r="AO88" s="22"/>
      <c r="AP88" s="22"/>
      <c r="AQ88" s="22"/>
    </row>
    <row r="89" spans="1:43"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2"/>
      <c r="Y89" s="22"/>
      <c r="Z89" s="22"/>
      <c r="AA89" s="22"/>
      <c r="AB89" s="22"/>
      <c r="AC89" s="22"/>
      <c r="AD89" s="22"/>
      <c r="AE89" s="22"/>
      <c r="AF89" s="22"/>
      <c r="AG89" s="22"/>
      <c r="AH89" s="22"/>
      <c r="AI89" s="22"/>
      <c r="AJ89" s="22"/>
      <c r="AK89" s="22"/>
      <c r="AL89" s="22"/>
      <c r="AM89" s="22"/>
      <c r="AN89" s="22"/>
      <c r="AO89" s="22"/>
      <c r="AP89" s="22"/>
      <c r="AQ89" s="22"/>
    </row>
    <row r="90" spans="1:43"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2"/>
      <c r="Y90" s="22"/>
      <c r="Z90" s="22"/>
      <c r="AA90" s="22"/>
      <c r="AB90" s="22"/>
      <c r="AC90" s="22"/>
      <c r="AD90" s="22"/>
      <c r="AE90" s="22"/>
      <c r="AF90" s="22"/>
      <c r="AG90" s="22"/>
      <c r="AH90" s="22"/>
      <c r="AI90" s="22"/>
      <c r="AJ90" s="22"/>
      <c r="AK90" s="22"/>
      <c r="AL90" s="22"/>
      <c r="AM90" s="22"/>
      <c r="AN90" s="22"/>
      <c r="AO90" s="22"/>
      <c r="AP90" s="22"/>
      <c r="AQ90" s="22"/>
    </row>
    <row r="91" spans="1:43"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2"/>
      <c r="Y91" s="22"/>
      <c r="Z91" s="22"/>
      <c r="AA91" s="22"/>
      <c r="AB91" s="22"/>
      <c r="AC91" s="22"/>
      <c r="AD91" s="22"/>
      <c r="AE91" s="22"/>
      <c r="AF91" s="22"/>
      <c r="AG91" s="22"/>
      <c r="AH91" s="22"/>
      <c r="AI91" s="22"/>
      <c r="AJ91" s="22"/>
      <c r="AK91" s="22"/>
      <c r="AL91" s="22"/>
      <c r="AM91" s="22"/>
      <c r="AN91" s="22"/>
      <c r="AO91" s="22"/>
      <c r="AP91" s="22"/>
      <c r="AQ91" s="22"/>
    </row>
    <row r="92" spans="1:43"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2"/>
      <c r="Y92" s="22"/>
      <c r="Z92" s="22"/>
      <c r="AA92" s="22"/>
      <c r="AB92" s="22"/>
      <c r="AC92" s="22"/>
      <c r="AD92" s="22"/>
      <c r="AE92" s="22"/>
      <c r="AF92" s="22"/>
      <c r="AG92" s="22"/>
      <c r="AH92" s="22"/>
      <c r="AI92" s="22"/>
      <c r="AJ92" s="22"/>
      <c r="AK92" s="22"/>
      <c r="AL92" s="22"/>
      <c r="AM92" s="22"/>
      <c r="AN92" s="22"/>
      <c r="AO92" s="22"/>
      <c r="AP92" s="22"/>
      <c r="AQ92" s="22"/>
    </row>
    <row r="93" spans="1:43"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2"/>
      <c r="Y93" s="22"/>
      <c r="Z93" s="22"/>
      <c r="AA93" s="22"/>
      <c r="AB93" s="22"/>
      <c r="AC93" s="22"/>
      <c r="AD93" s="22"/>
      <c r="AE93" s="22"/>
      <c r="AF93" s="22"/>
      <c r="AG93" s="22"/>
      <c r="AH93" s="22"/>
      <c r="AI93" s="22"/>
      <c r="AJ93" s="22"/>
      <c r="AK93" s="22"/>
      <c r="AL93" s="22"/>
      <c r="AM93" s="22"/>
      <c r="AN93" s="22"/>
      <c r="AO93" s="22"/>
      <c r="AP93" s="22"/>
      <c r="AQ93" s="22"/>
    </row>
    <row r="94" spans="1:43"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2"/>
      <c r="Y94" s="22"/>
      <c r="Z94" s="22"/>
      <c r="AA94" s="22"/>
      <c r="AB94" s="22"/>
      <c r="AC94" s="22"/>
      <c r="AD94" s="22"/>
      <c r="AE94" s="22"/>
      <c r="AF94" s="22"/>
      <c r="AG94" s="22"/>
      <c r="AH94" s="22"/>
      <c r="AI94" s="22"/>
      <c r="AJ94" s="22"/>
      <c r="AK94" s="22"/>
      <c r="AL94" s="22"/>
      <c r="AM94" s="22"/>
      <c r="AN94" s="22"/>
      <c r="AO94" s="22"/>
      <c r="AP94" s="22"/>
      <c r="AQ94" s="22"/>
    </row>
    <row r="95" spans="1:43"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2"/>
      <c r="Y95" s="22"/>
      <c r="Z95" s="22"/>
      <c r="AA95" s="22"/>
      <c r="AB95" s="22"/>
      <c r="AC95" s="22"/>
      <c r="AD95" s="22"/>
      <c r="AE95" s="22"/>
      <c r="AF95" s="22"/>
      <c r="AG95" s="22"/>
      <c r="AH95" s="22"/>
      <c r="AI95" s="22"/>
      <c r="AJ95" s="22"/>
      <c r="AK95" s="22"/>
      <c r="AL95" s="22"/>
      <c r="AM95" s="22"/>
      <c r="AN95" s="22"/>
      <c r="AO95" s="22"/>
      <c r="AP95" s="22"/>
      <c r="AQ95" s="22"/>
    </row>
    <row r="96" spans="1:43"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2"/>
      <c r="Y96" s="22"/>
      <c r="Z96" s="22"/>
      <c r="AA96" s="22"/>
      <c r="AB96" s="22"/>
      <c r="AC96" s="22"/>
      <c r="AD96" s="22"/>
      <c r="AE96" s="22"/>
      <c r="AF96" s="22"/>
      <c r="AG96" s="22"/>
      <c r="AH96" s="22"/>
      <c r="AI96" s="22"/>
      <c r="AJ96" s="22"/>
      <c r="AK96" s="22"/>
      <c r="AL96" s="22"/>
      <c r="AM96" s="22"/>
      <c r="AN96" s="22"/>
      <c r="AO96" s="22"/>
      <c r="AP96" s="22"/>
      <c r="AQ96" s="22"/>
    </row>
    <row r="97" spans="1:43"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2"/>
      <c r="Y97" s="22"/>
      <c r="Z97" s="22"/>
      <c r="AA97" s="22"/>
      <c r="AB97" s="22"/>
      <c r="AC97" s="22"/>
      <c r="AD97" s="22"/>
      <c r="AE97" s="22"/>
      <c r="AF97" s="22"/>
      <c r="AG97" s="22"/>
      <c r="AH97" s="22"/>
      <c r="AI97" s="22"/>
      <c r="AJ97" s="22"/>
      <c r="AK97" s="22"/>
      <c r="AL97" s="22"/>
      <c r="AM97" s="22"/>
      <c r="AN97" s="22"/>
      <c r="AO97" s="22"/>
      <c r="AP97" s="22"/>
      <c r="AQ97" s="22"/>
    </row>
    <row r="98" spans="1:43"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2"/>
      <c r="Y98" s="22"/>
      <c r="Z98" s="22"/>
      <c r="AA98" s="22"/>
      <c r="AB98" s="22"/>
      <c r="AC98" s="22"/>
      <c r="AD98" s="22"/>
      <c r="AE98" s="22"/>
      <c r="AF98" s="22"/>
      <c r="AG98" s="22"/>
      <c r="AH98" s="22"/>
      <c r="AI98" s="22"/>
      <c r="AJ98" s="22"/>
      <c r="AK98" s="22"/>
      <c r="AL98" s="22"/>
      <c r="AM98" s="22"/>
      <c r="AN98" s="22"/>
      <c r="AO98" s="22"/>
      <c r="AP98" s="22"/>
      <c r="AQ98" s="22"/>
    </row>
    <row r="99" spans="1:43"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2"/>
      <c r="Y99" s="22"/>
      <c r="Z99" s="22"/>
      <c r="AA99" s="22"/>
      <c r="AB99" s="22"/>
      <c r="AC99" s="22"/>
      <c r="AD99" s="22"/>
      <c r="AE99" s="22"/>
      <c r="AF99" s="22"/>
      <c r="AG99" s="22"/>
      <c r="AH99" s="22"/>
      <c r="AI99" s="22"/>
      <c r="AJ99" s="22"/>
      <c r="AK99" s="22"/>
      <c r="AL99" s="22"/>
      <c r="AM99" s="22"/>
      <c r="AN99" s="22"/>
      <c r="AO99" s="22"/>
      <c r="AP99" s="22"/>
      <c r="AQ99" s="22"/>
    </row>
    <row r="100" spans="1:43"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2"/>
      <c r="Y100" s="22"/>
      <c r="Z100" s="22"/>
      <c r="AA100" s="22"/>
      <c r="AB100" s="22"/>
      <c r="AC100" s="22"/>
      <c r="AD100" s="22"/>
      <c r="AE100" s="22"/>
      <c r="AF100" s="22"/>
      <c r="AG100" s="22"/>
      <c r="AH100" s="22"/>
      <c r="AI100" s="22"/>
      <c r="AJ100" s="22"/>
      <c r="AK100" s="22"/>
      <c r="AL100" s="22"/>
      <c r="AM100" s="22"/>
      <c r="AN100" s="22"/>
      <c r="AO100" s="22"/>
      <c r="AP100" s="22"/>
      <c r="AQ100" s="22"/>
    </row>
    <row r="101" spans="1:43"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2"/>
      <c r="Y101" s="22"/>
      <c r="Z101" s="22"/>
      <c r="AA101" s="22"/>
      <c r="AB101" s="22"/>
      <c r="AC101" s="22"/>
      <c r="AD101" s="22"/>
      <c r="AE101" s="22"/>
      <c r="AF101" s="22"/>
      <c r="AG101" s="22"/>
      <c r="AH101" s="22"/>
      <c r="AI101" s="22"/>
      <c r="AJ101" s="22"/>
      <c r="AK101" s="22"/>
      <c r="AL101" s="22"/>
      <c r="AM101" s="22"/>
      <c r="AN101" s="22"/>
      <c r="AO101" s="22"/>
      <c r="AP101" s="22"/>
      <c r="AQ101" s="22"/>
    </row>
    <row r="102" spans="1:43"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2"/>
      <c r="Y102" s="22"/>
      <c r="Z102" s="22"/>
      <c r="AA102" s="22"/>
      <c r="AB102" s="22"/>
      <c r="AC102" s="22"/>
      <c r="AD102" s="22"/>
      <c r="AE102" s="22"/>
      <c r="AF102" s="22"/>
      <c r="AG102" s="22"/>
      <c r="AH102" s="22"/>
      <c r="AI102" s="22"/>
      <c r="AJ102" s="22"/>
      <c r="AK102" s="22"/>
      <c r="AL102" s="22"/>
      <c r="AM102" s="22"/>
      <c r="AN102" s="22"/>
      <c r="AO102" s="22"/>
      <c r="AP102" s="22"/>
      <c r="AQ102" s="22"/>
    </row>
    <row r="103" spans="1:43"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2"/>
      <c r="Y103" s="22"/>
      <c r="Z103" s="22"/>
      <c r="AA103" s="22"/>
      <c r="AB103" s="22"/>
      <c r="AC103" s="22"/>
      <c r="AD103" s="22"/>
      <c r="AE103" s="22"/>
      <c r="AF103" s="22"/>
      <c r="AG103" s="22"/>
      <c r="AH103" s="22"/>
      <c r="AI103" s="22"/>
      <c r="AJ103" s="22"/>
      <c r="AK103" s="22"/>
      <c r="AL103" s="22"/>
      <c r="AM103" s="22"/>
      <c r="AN103" s="22"/>
      <c r="AO103" s="22"/>
      <c r="AP103" s="22"/>
      <c r="AQ103" s="22"/>
    </row>
    <row r="104" spans="1:43"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2"/>
      <c r="Y104" s="22"/>
      <c r="Z104" s="22"/>
      <c r="AA104" s="22"/>
      <c r="AB104" s="22"/>
      <c r="AC104" s="22"/>
      <c r="AD104" s="22"/>
      <c r="AE104" s="22"/>
      <c r="AF104" s="22"/>
      <c r="AG104" s="22"/>
      <c r="AH104" s="22"/>
      <c r="AI104" s="22"/>
      <c r="AJ104" s="22"/>
      <c r="AK104" s="22"/>
      <c r="AL104" s="22"/>
      <c r="AM104" s="22"/>
      <c r="AN104" s="22"/>
      <c r="AO104" s="22"/>
      <c r="AP104" s="22"/>
      <c r="AQ104" s="22"/>
    </row>
    <row r="105" spans="1:43"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2"/>
      <c r="Y105" s="22"/>
      <c r="Z105" s="22"/>
      <c r="AA105" s="22"/>
      <c r="AB105" s="22"/>
      <c r="AC105" s="22"/>
      <c r="AD105" s="22"/>
      <c r="AE105" s="22"/>
      <c r="AF105" s="22"/>
      <c r="AG105" s="22"/>
      <c r="AH105" s="22"/>
      <c r="AI105" s="22"/>
      <c r="AJ105" s="22"/>
      <c r="AK105" s="22"/>
      <c r="AL105" s="22"/>
      <c r="AM105" s="22"/>
      <c r="AN105" s="22"/>
      <c r="AO105" s="22"/>
      <c r="AP105" s="22"/>
      <c r="AQ105" s="22"/>
    </row>
    <row r="106" spans="1:43"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2"/>
      <c r="Y106" s="22"/>
      <c r="Z106" s="22"/>
      <c r="AA106" s="22"/>
      <c r="AB106" s="22"/>
      <c r="AC106" s="22"/>
      <c r="AD106" s="22"/>
      <c r="AE106" s="22"/>
      <c r="AF106" s="22"/>
      <c r="AG106" s="22"/>
      <c r="AH106" s="22"/>
      <c r="AI106" s="22"/>
      <c r="AJ106" s="22"/>
      <c r="AK106" s="22"/>
      <c r="AL106" s="22"/>
      <c r="AM106" s="22"/>
      <c r="AN106" s="22"/>
      <c r="AO106" s="22"/>
      <c r="AP106" s="22"/>
      <c r="AQ106" s="22"/>
    </row>
    <row r="107" spans="1:43"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2"/>
      <c r="Y107" s="22"/>
      <c r="Z107" s="22"/>
      <c r="AA107" s="22"/>
      <c r="AB107" s="22"/>
      <c r="AC107" s="22"/>
      <c r="AD107" s="22"/>
      <c r="AE107" s="22"/>
      <c r="AF107" s="22"/>
      <c r="AG107" s="22"/>
      <c r="AH107" s="22"/>
      <c r="AI107" s="22"/>
      <c r="AJ107" s="22"/>
      <c r="AK107" s="22"/>
      <c r="AL107" s="22"/>
      <c r="AM107" s="22"/>
      <c r="AN107" s="22"/>
      <c r="AO107" s="22"/>
      <c r="AP107" s="22"/>
      <c r="AQ107" s="22"/>
    </row>
    <row r="108" spans="1:43"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2"/>
      <c r="Y108" s="22"/>
      <c r="Z108" s="22"/>
      <c r="AA108" s="22"/>
      <c r="AB108" s="22"/>
      <c r="AC108" s="22"/>
      <c r="AD108" s="22"/>
      <c r="AE108" s="22"/>
      <c r="AF108" s="22"/>
      <c r="AG108" s="22"/>
      <c r="AH108" s="22"/>
      <c r="AI108" s="22"/>
      <c r="AJ108" s="22"/>
      <c r="AK108" s="22"/>
      <c r="AL108" s="22"/>
      <c r="AM108" s="22"/>
      <c r="AN108" s="22"/>
      <c r="AO108" s="22"/>
      <c r="AP108" s="22"/>
      <c r="AQ108" s="22"/>
    </row>
    <row r="109" spans="1:43"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2"/>
      <c r="Y109" s="22"/>
      <c r="Z109" s="22"/>
      <c r="AA109" s="22"/>
      <c r="AB109" s="22"/>
      <c r="AC109" s="22"/>
      <c r="AD109" s="22"/>
      <c r="AE109" s="22"/>
      <c r="AF109" s="22"/>
      <c r="AG109" s="22"/>
      <c r="AH109" s="22"/>
      <c r="AI109" s="22"/>
      <c r="AJ109" s="22"/>
      <c r="AK109" s="22"/>
      <c r="AL109" s="22"/>
      <c r="AM109" s="22"/>
      <c r="AN109" s="22"/>
      <c r="AO109" s="22"/>
      <c r="AP109" s="22"/>
      <c r="AQ109" s="22"/>
    </row>
    <row r="110" spans="1:43"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2"/>
      <c r="Y110" s="22"/>
      <c r="Z110" s="22"/>
      <c r="AA110" s="22"/>
      <c r="AB110" s="22"/>
      <c r="AC110" s="22"/>
      <c r="AD110" s="22"/>
      <c r="AE110" s="22"/>
      <c r="AF110" s="22"/>
      <c r="AG110" s="22"/>
      <c r="AH110" s="22"/>
      <c r="AI110" s="22"/>
      <c r="AJ110" s="22"/>
      <c r="AK110" s="22"/>
      <c r="AL110" s="22"/>
      <c r="AM110" s="22"/>
      <c r="AN110" s="22"/>
      <c r="AO110" s="22"/>
      <c r="AP110" s="22"/>
      <c r="AQ110" s="22"/>
    </row>
    <row r="111" spans="1:43"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2"/>
      <c r="Y111" s="22"/>
      <c r="Z111" s="22"/>
      <c r="AA111" s="22"/>
      <c r="AB111" s="22"/>
      <c r="AC111" s="22"/>
      <c r="AD111" s="22"/>
      <c r="AE111" s="22"/>
      <c r="AF111" s="22"/>
      <c r="AG111" s="22"/>
      <c r="AH111" s="22"/>
      <c r="AI111" s="22"/>
      <c r="AJ111" s="22"/>
      <c r="AK111" s="22"/>
      <c r="AL111" s="22"/>
      <c r="AM111" s="22"/>
      <c r="AN111" s="22"/>
      <c r="AO111" s="22"/>
      <c r="AP111" s="22"/>
      <c r="AQ111" s="22"/>
    </row>
    <row r="112" spans="1:43"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2"/>
      <c r="Y112" s="22"/>
      <c r="Z112" s="22"/>
      <c r="AA112" s="22"/>
      <c r="AB112" s="22"/>
      <c r="AC112" s="22"/>
      <c r="AD112" s="22"/>
      <c r="AE112" s="22"/>
      <c r="AF112" s="22"/>
      <c r="AG112" s="22"/>
      <c r="AH112" s="22"/>
      <c r="AI112" s="22"/>
      <c r="AJ112" s="22"/>
      <c r="AK112" s="22"/>
      <c r="AL112" s="22"/>
      <c r="AM112" s="22"/>
      <c r="AN112" s="22"/>
      <c r="AO112" s="22"/>
      <c r="AP112" s="22"/>
      <c r="AQ112" s="22"/>
    </row>
    <row r="113" spans="1:43"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2"/>
      <c r="Y113" s="22"/>
      <c r="Z113" s="22"/>
      <c r="AA113" s="22"/>
      <c r="AB113" s="22"/>
      <c r="AC113" s="22"/>
      <c r="AD113" s="22"/>
      <c r="AE113" s="22"/>
      <c r="AF113" s="22"/>
      <c r="AG113" s="22"/>
      <c r="AH113" s="22"/>
      <c r="AI113" s="22"/>
      <c r="AJ113" s="22"/>
      <c r="AK113" s="22"/>
      <c r="AL113" s="22"/>
      <c r="AM113" s="22"/>
      <c r="AN113" s="22"/>
      <c r="AO113" s="22"/>
      <c r="AP113" s="22"/>
      <c r="AQ113" s="22"/>
    </row>
    <row r="114" spans="1:43"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2"/>
      <c r="Y114" s="22"/>
      <c r="Z114" s="22"/>
      <c r="AA114" s="22"/>
      <c r="AB114" s="22"/>
      <c r="AC114" s="22"/>
      <c r="AD114" s="22"/>
      <c r="AE114" s="22"/>
      <c r="AF114" s="22"/>
      <c r="AG114" s="22"/>
      <c r="AH114" s="22"/>
      <c r="AI114" s="22"/>
      <c r="AJ114" s="22"/>
      <c r="AK114" s="22"/>
      <c r="AL114" s="22"/>
      <c r="AM114" s="22"/>
      <c r="AN114" s="22"/>
      <c r="AO114" s="22"/>
      <c r="AP114" s="22"/>
      <c r="AQ114" s="22"/>
    </row>
    <row r="115" spans="1:43"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2"/>
      <c r="Y115" s="22"/>
      <c r="Z115" s="22"/>
      <c r="AA115" s="22"/>
      <c r="AB115" s="22"/>
      <c r="AC115" s="22"/>
      <c r="AD115" s="22"/>
      <c r="AE115" s="22"/>
      <c r="AF115" s="22"/>
      <c r="AG115" s="22"/>
      <c r="AH115" s="22"/>
      <c r="AI115" s="22"/>
      <c r="AJ115" s="22"/>
      <c r="AK115" s="22"/>
      <c r="AL115" s="22"/>
      <c r="AM115" s="22"/>
      <c r="AN115" s="22"/>
      <c r="AO115" s="22"/>
      <c r="AP115" s="22"/>
      <c r="AQ115" s="22"/>
    </row>
    <row r="116" spans="1:43"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2"/>
      <c r="Y116" s="22"/>
      <c r="Z116" s="22"/>
      <c r="AA116" s="22"/>
      <c r="AB116" s="22"/>
      <c r="AC116" s="22"/>
      <c r="AD116" s="22"/>
      <c r="AE116" s="22"/>
      <c r="AF116" s="22"/>
      <c r="AG116" s="22"/>
      <c r="AH116" s="22"/>
      <c r="AI116" s="22"/>
      <c r="AJ116" s="22"/>
      <c r="AK116" s="22"/>
      <c r="AL116" s="22"/>
      <c r="AM116" s="22"/>
      <c r="AN116" s="22"/>
      <c r="AO116" s="22"/>
      <c r="AP116" s="22"/>
      <c r="AQ116" s="22"/>
    </row>
    <row r="117" spans="1:43"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2"/>
      <c r="Y117" s="22"/>
      <c r="Z117" s="22"/>
      <c r="AA117" s="22"/>
      <c r="AB117" s="22"/>
      <c r="AC117" s="22"/>
      <c r="AD117" s="22"/>
      <c r="AE117" s="22"/>
      <c r="AF117" s="22"/>
      <c r="AG117" s="22"/>
      <c r="AH117" s="22"/>
      <c r="AI117" s="22"/>
      <c r="AJ117" s="22"/>
      <c r="AK117" s="22"/>
      <c r="AL117" s="22"/>
      <c r="AM117" s="22"/>
      <c r="AN117" s="22"/>
      <c r="AO117" s="22"/>
      <c r="AP117" s="22"/>
      <c r="AQ117" s="22"/>
    </row>
    <row r="118" spans="1:43"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2"/>
      <c r="Y118" s="22"/>
      <c r="Z118" s="22"/>
      <c r="AA118" s="22"/>
      <c r="AB118" s="22"/>
      <c r="AC118" s="22"/>
      <c r="AD118" s="22"/>
      <c r="AE118" s="22"/>
      <c r="AF118" s="22"/>
      <c r="AG118" s="22"/>
      <c r="AH118" s="22"/>
      <c r="AI118" s="22"/>
      <c r="AJ118" s="22"/>
      <c r="AK118" s="22"/>
      <c r="AL118" s="22"/>
      <c r="AM118" s="22"/>
      <c r="AN118" s="22"/>
      <c r="AO118" s="22"/>
      <c r="AP118" s="22"/>
      <c r="AQ118" s="22"/>
    </row>
    <row r="119" spans="1:43"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2"/>
      <c r="Y119" s="22"/>
      <c r="Z119" s="22"/>
      <c r="AA119" s="22"/>
      <c r="AB119" s="22"/>
      <c r="AC119" s="22"/>
      <c r="AD119" s="22"/>
      <c r="AE119" s="22"/>
      <c r="AF119" s="22"/>
      <c r="AG119" s="22"/>
      <c r="AH119" s="22"/>
      <c r="AI119" s="22"/>
      <c r="AJ119" s="22"/>
      <c r="AK119" s="22"/>
      <c r="AL119" s="22"/>
      <c r="AM119" s="22"/>
      <c r="AN119" s="22"/>
      <c r="AO119" s="22"/>
      <c r="AP119" s="22"/>
      <c r="AQ119" s="22"/>
    </row>
    <row r="120" spans="1:43"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2"/>
      <c r="Y120" s="22"/>
      <c r="Z120" s="22"/>
      <c r="AA120" s="22"/>
      <c r="AB120" s="22"/>
      <c r="AC120" s="22"/>
      <c r="AD120" s="22"/>
      <c r="AE120" s="22"/>
      <c r="AF120" s="22"/>
      <c r="AG120" s="22"/>
      <c r="AH120" s="22"/>
      <c r="AI120" s="22"/>
      <c r="AJ120" s="22"/>
      <c r="AK120" s="22"/>
      <c r="AL120" s="22"/>
      <c r="AM120" s="22"/>
      <c r="AN120" s="22"/>
      <c r="AO120" s="22"/>
      <c r="AP120" s="22"/>
      <c r="AQ120" s="22"/>
    </row>
    <row r="121" spans="1:43"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2"/>
      <c r="Y121" s="22"/>
      <c r="Z121" s="22"/>
      <c r="AA121" s="22"/>
      <c r="AB121" s="22"/>
      <c r="AC121" s="22"/>
      <c r="AD121" s="22"/>
      <c r="AE121" s="22"/>
      <c r="AF121" s="22"/>
      <c r="AG121" s="22"/>
      <c r="AH121" s="22"/>
      <c r="AI121" s="22"/>
      <c r="AJ121" s="22"/>
      <c r="AK121" s="22"/>
      <c r="AL121" s="22"/>
      <c r="AM121" s="22"/>
      <c r="AN121" s="22"/>
      <c r="AO121" s="22"/>
      <c r="AP121" s="22"/>
      <c r="AQ121" s="22"/>
    </row>
    <row r="122" spans="1:43"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2"/>
      <c r="Y122" s="22"/>
      <c r="Z122" s="22"/>
      <c r="AA122" s="22"/>
      <c r="AB122" s="22"/>
      <c r="AC122" s="22"/>
      <c r="AD122" s="22"/>
      <c r="AE122" s="22"/>
      <c r="AF122" s="22"/>
      <c r="AG122" s="22"/>
      <c r="AH122" s="22"/>
      <c r="AI122" s="22"/>
      <c r="AJ122" s="22"/>
      <c r="AK122" s="22"/>
      <c r="AL122" s="22"/>
      <c r="AM122" s="22"/>
      <c r="AN122" s="22"/>
      <c r="AO122" s="22"/>
      <c r="AP122" s="22"/>
      <c r="AQ122" s="22"/>
    </row>
    <row r="123" spans="1:43"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2"/>
      <c r="Y123" s="22"/>
      <c r="Z123" s="22"/>
      <c r="AA123" s="22"/>
      <c r="AB123" s="22"/>
      <c r="AC123" s="22"/>
      <c r="AD123" s="22"/>
      <c r="AE123" s="22"/>
      <c r="AF123" s="22"/>
      <c r="AG123" s="22"/>
      <c r="AH123" s="22"/>
      <c r="AI123" s="22"/>
      <c r="AJ123" s="22"/>
      <c r="AK123" s="22"/>
      <c r="AL123" s="22"/>
      <c r="AM123" s="22"/>
      <c r="AN123" s="22"/>
      <c r="AO123" s="22"/>
      <c r="AP123" s="22"/>
      <c r="AQ123" s="22"/>
    </row>
    <row r="124" spans="1:43"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2"/>
      <c r="Y124" s="22"/>
      <c r="Z124" s="22"/>
      <c r="AA124" s="22"/>
      <c r="AB124" s="22"/>
      <c r="AC124" s="22"/>
      <c r="AD124" s="22"/>
      <c r="AE124" s="22"/>
      <c r="AF124" s="22"/>
      <c r="AG124" s="22"/>
      <c r="AH124" s="22"/>
      <c r="AI124" s="22"/>
      <c r="AJ124" s="22"/>
      <c r="AK124" s="22"/>
      <c r="AL124" s="22"/>
      <c r="AM124" s="22"/>
      <c r="AN124" s="22"/>
      <c r="AO124" s="22"/>
      <c r="AP124" s="22"/>
      <c r="AQ124" s="22"/>
    </row>
    <row r="125" spans="1:43"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2"/>
      <c r="Y125" s="22"/>
      <c r="Z125" s="22"/>
      <c r="AA125" s="22"/>
      <c r="AB125" s="22"/>
      <c r="AC125" s="22"/>
      <c r="AD125" s="22"/>
      <c r="AE125" s="22"/>
      <c r="AF125" s="22"/>
      <c r="AG125" s="22"/>
      <c r="AH125" s="22"/>
      <c r="AI125" s="22"/>
      <c r="AJ125" s="22"/>
      <c r="AK125" s="22"/>
      <c r="AL125" s="22"/>
      <c r="AM125" s="22"/>
      <c r="AN125" s="22"/>
      <c r="AO125" s="22"/>
      <c r="AP125" s="22"/>
      <c r="AQ125" s="22"/>
    </row>
    <row r="126" spans="1:43"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2"/>
      <c r="Y126" s="22"/>
      <c r="Z126" s="22"/>
      <c r="AA126" s="22"/>
      <c r="AB126" s="22"/>
      <c r="AC126" s="22"/>
      <c r="AD126" s="22"/>
      <c r="AE126" s="22"/>
      <c r="AF126" s="22"/>
      <c r="AG126" s="22"/>
      <c r="AH126" s="22"/>
      <c r="AI126" s="22"/>
      <c r="AJ126" s="22"/>
      <c r="AK126" s="22"/>
      <c r="AL126" s="22"/>
      <c r="AM126" s="22"/>
      <c r="AN126" s="22"/>
      <c r="AO126" s="22"/>
      <c r="AP126" s="22"/>
      <c r="AQ126" s="22"/>
    </row>
    <row r="127" spans="1:43"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2"/>
      <c r="Y127" s="22"/>
      <c r="Z127" s="22"/>
      <c r="AA127" s="22"/>
      <c r="AB127" s="22"/>
      <c r="AC127" s="22"/>
      <c r="AD127" s="22"/>
      <c r="AE127" s="22"/>
      <c r="AF127" s="22"/>
      <c r="AG127" s="22"/>
      <c r="AH127" s="22"/>
      <c r="AI127" s="22"/>
      <c r="AJ127" s="22"/>
      <c r="AK127" s="22"/>
      <c r="AL127" s="22"/>
      <c r="AM127" s="22"/>
      <c r="AN127" s="22"/>
      <c r="AO127" s="22"/>
      <c r="AP127" s="22"/>
      <c r="AQ127" s="22"/>
    </row>
    <row r="128" spans="1:43"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2"/>
      <c r="Y128" s="22"/>
      <c r="Z128" s="22"/>
      <c r="AA128" s="22"/>
      <c r="AB128" s="22"/>
      <c r="AC128" s="22"/>
      <c r="AD128" s="22"/>
      <c r="AE128" s="22"/>
      <c r="AF128" s="22"/>
      <c r="AG128" s="22"/>
      <c r="AH128" s="22"/>
      <c r="AI128" s="22"/>
      <c r="AJ128" s="22"/>
      <c r="AK128" s="22"/>
      <c r="AL128" s="22"/>
      <c r="AM128" s="22"/>
      <c r="AN128" s="22"/>
      <c r="AO128" s="22"/>
      <c r="AP128" s="22"/>
      <c r="AQ128" s="22"/>
    </row>
    <row r="129" spans="1:43"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2"/>
      <c r="Y129" s="22"/>
      <c r="Z129" s="22"/>
      <c r="AA129" s="22"/>
      <c r="AB129" s="22"/>
      <c r="AC129" s="22"/>
      <c r="AD129" s="22"/>
      <c r="AE129" s="22"/>
      <c r="AF129" s="22"/>
      <c r="AG129" s="22"/>
      <c r="AH129" s="22"/>
      <c r="AI129" s="22"/>
      <c r="AJ129" s="22"/>
      <c r="AK129" s="22"/>
      <c r="AL129" s="22"/>
      <c r="AM129" s="22"/>
      <c r="AN129" s="22"/>
      <c r="AO129" s="22"/>
      <c r="AP129" s="22"/>
      <c r="AQ129" s="22"/>
    </row>
    <row r="130" spans="1:43"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2"/>
      <c r="Y130" s="22"/>
      <c r="Z130" s="22"/>
      <c r="AA130" s="22"/>
      <c r="AB130" s="22"/>
      <c r="AC130" s="22"/>
      <c r="AD130" s="22"/>
      <c r="AE130" s="22"/>
      <c r="AF130" s="22"/>
      <c r="AG130" s="22"/>
      <c r="AH130" s="22"/>
      <c r="AI130" s="22"/>
      <c r="AJ130" s="22"/>
      <c r="AK130" s="22"/>
      <c r="AL130" s="22"/>
      <c r="AM130" s="22"/>
      <c r="AN130" s="22"/>
      <c r="AO130" s="22"/>
      <c r="AP130" s="22"/>
      <c r="AQ130" s="22"/>
    </row>
    <row r="131" spans="1:43"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2"/>
      <c r="Y131" s="22"/>
      <c r="Z131" s="22"/>
      <c r="AA131" s="22"/>
      <c r="AB131" s="22"/>
      <c r="AC131" s="22"/>
      <c r="AD131" s="22"/>
      <c r="AE131" s="22"/>
      <c r="AF131" s="22"/>
      <c r="AG131" s="22"/>
      <c r="AH131" s="22"/>
      <c r="AI131" s="22"/>
      <c r="AJ131" s="22"/>
      <c r="AK131" s="22"/>
      <c r="AL131" s="22"/>
      <c r="AM131" s="22"/>
      <c r="AN131" s="22"/>
      <c r="AO131" s="22"/>
      <c r="AP131" s="22"/>
      <c r="AQ131" s="22"/>
    </row>
    <row r="132" spans="1:43"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2"/>
      <c r="Y132" s="22"/>
      <c r="Z132" s="22"/>
      <c r="AA132" s="22"/>
      <c r="AB132" s="22"/>
      <c r="AC132" s="22"/>
      <c r="AD132" s="22"/>
      <c r="AE132" s="22"/>
      <c r="AF132" s="22"/>
      <c r="AG132" s="22"/>
      <c r="AH132" s="22"/>
      <c r="AI132" s="22"/>
      <c r="AJ132" s="22"/>
      <c r="AK132" s="22"/>
      <c r="AL132" s="22"/>
      <c r="AM132" s="22"/>
      <c r="AN132" s="22"/>
      <c r="AO132" s="22"/>
      <c r="AP132" s="22"/>
      <c r="AQ132" s="22"/>
    </row>
    <row r="133" spans="1:43"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2"/>
      <c r="Y133" s="22"/>
      <c r="Z133" s="22"/>
      <c r="AA133" s="22"/>
      <c r="AB133" s="22"/>
      <c r="AC133" s="22"/>
      <c r="AD133" s="22"/>
      <c r="AE133" s="22"/>
      <c r="AF133" s="22"/>
      <c r="AG133" s="22"/>
      <c r="AH133" s="22"/>
      <c r="AI133" s="22"/>
      <c r="AJ133" s="22"/>
      <c r="AK133" s="22"/>
      <c r="AL133" s="22"/>
      <c r="AM133" s="22"/>
      <c r="AN133" s="22"/>
      <c r="AO133" s="22"/>
      <c r="AP133" s="22"/>
      <c r="AQ133" s="22"/>
    </row>
    <row r="134" spans="1:43"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2"/>
      <c r="Y134" s="22"/>
      <c r="Z134" s="22"/>
      <c r="AA134" s="22"/>
      <c r="AB134" s="22"/>
      <c r="AC134" s="22"/>
      <c r="AD134" s="22"/>
      <c r="AE134" s="22"/>
      <c r="AF134" s="22"/>
      <c r="AG134" s="22"/>
      <c r="AH134" s="22"/>
      <c r="AI134" s="22"/>
      <c r="AJ134" s="22"/>
      <c r="AK134" s="22"/>
      <c r="AL134" s="22"/>
      <c r="AM134" s="22"/>
      <c r="AN134" s="22"/>
      <c r="AO134" s="22"/>
      <c r="AP134" s="22"/>
      <c r="AQ134" s="22"/>
    </row>
    <row r="135" spans="1:43"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2"/>
      <c r="Y135" s="22"/>
      <c r="Z135" s="22"/>
      <c r="AA135" s="22"/>
      <c r="AB135" s="22"/>
      <c r="AC135" s="22"/>
      <c r="AD135" s="22"/>
      <c r="AE135" s="22"/>
      <c r="AF135" s="22"/>
      <c r="AG135" s="22"/>
      <c r="AH135" s="22"/>
      <c r="AI135" s="22"/>
      <c r="AJ135" s="22"/>
      <c r="AK135" s="22"/>
      <c r="AL135" s="22"/>
      <c r="AM135" s="22"/>
      <c r="AN135" s="22"/>
      <c r="AO135" s="22"/>
      <c r="AP135" s="22"/>
      <c r="AQ135" s="22"/>
    </row>
    <row r="136" spans="1:43"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2"/>
      <c r="Y136" s="22"/>
      <c r="Z136" s="22"/>
      <c r="AA136" s="22"/>
      <c r="AB136" s="22"/>
      <c r="AC136" s="22"/>
      <c r="AD136" s="22"/>
      <c r="AE136" s="22"/>
      <c r="AF136" s="22"/>
      <c r="AG136" s="22"/>
      <c r="AH136" s="22"/>
      <c r="AI136" s="22"/>
      <c r="AJ136" s="22"/>
      <c r="AK136" s="22"/>
      <c r="AL136" s="22"/>
      <c r="AM136" s="22"/>
      <c r="AN136" s="22"/>
      <c r="AO136" s="22"/>
      <c r="AP136" s="22"/>
      <c r="AQ136" s="22"/>
    </row>
    <row r="137" spans="1:43"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2"/>
      <c r="Y137" s="22"/>
      <c r="Z137" s="22"/>
      <c r="AA137" s="22"/>
      <c r="AB137" s="22"/>
      <c r="AC137" s="22"/>
      <c r="AD137" s="22"/>
      <c r="AE137" s="22"/>
      <c r="AF137" s="22"/>
      <c r="AG137" s="22"/>
      <c r="AH137" s="22"/>
      <c r="AI137" s="22"/>
      <c r="AJ137" s="22"/>
      <c r="AK137" s="22"/>
      <c r="AL137" s="22"/>
      <c r="AM137" s="22"/>
      <c r="AN137" s="22"/>
      <c r="AO137" s="22"/>
      <c r="AP137" s="22"/>
      <c r="AQ137" s="22"/>
    </row>
    <row r="138" spans="1:43"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2"/>
      <c r="Y138" s="22"/>
      <c r="Z138" s="22"/>
      <c r="AA138" s="22"/>
      <c r="AB138" s="22"/>
      <c r="AC138" s="22"/>
      <c r="AD138" s="22"/>
      <c r="AE138" s="22"/>
      <c r="AF138" s="22"/>
      <c r="AG138" s="22"/>
      <c r="AH138" s="22"/>
      <c r="AI138" s="22"/>
      <c r="AJ138" s="22"/>
      <c r="AK138" s="22"/>
      <c r="AL138" s="22"/>
      <c r="AM138" s="22"/>
      <c r="AN138" s="22"/>
      <c r="AO138" s="22"/>
      <c r="AP138" s="22"/>
      <c r="AQ138" s="22"/>
    </row>
    <row r="139" spans="1:43"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2"/>
      <c r="Y139" s="22"/>
      <c r="Z139" s="22"/>
      <c r="AA139" s="22"/>
      <c r="AB139" s="22"/>
      <c r="AC139" s="22"/>
      <c r="AD139" s="22"/>
      <c r="AE139" s="22"/>
      <c r="AF139" s="22"/>
      <c r="AG139" s="22"/>
      <c r="AH139" s="22"/>
      <c r="AI139" s="22"/>
      <c r="AJ139" s="22"/>
      <c r="AK139" s="22"/>
      <c r="AL139" s="22"/>
      <c r="AM139" s="22"/>
      <c r="AN139" s="22"/>
      <c r="AO139" s="22"/>
      <c r="AP139" s="22"/>
      <c r="AQ139" s="22"/>
    </row>
    <row r="140" spans="1:43"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2"/>
      <c r="Y140" s="22"/>
      <c r="Z140" s="22"/>
      <c r="AA140" s="22"/>
      <c r="AB140" s="22"/>
      <c r="AC140" s="22"/>
      <c r="AD140" s="22"/>
      <c r="AE140" s="22"/>
      <c r="AF140" s="22"/>
      <c r="AG140" s="22"/>
      <c r="AH140" s="22"/>
      <c r="AI140" s="22"/>
      <c r="AJ140" s="22"/>
      <c r="AK140" s="22"/>
      <c r="AL140" s="22"/>
      <c r="AM140" s="22"/>
      <c r="AN140" s="22"/>
      <c r="AO140" s="22"/>
      <c r="AP140" s="22"/>
      <c r="AQ140" s="22"/>
    </row>
    <row r="141" spans="1:43"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2"/>
      <c r="Y141" s="22"/>
      <c r="Z141" s="22"/>
      <c r="AA141" s="22"/>
      <c r="AB141" s="22"/>
      <c r="AC141" s="22"/>
      <c r="AD141" s="22"/>
      <c r="AE141" s="22"/>
      <c r="AF141" s="22"/>
      <c r="AG141" s="22"/>
      <c r="AH141" s="22"/>
      <c r="AI141" s="22"/>
      <c r="AJ141" s="22"/>
      <c r="AK141" s="22"/>
      <c r="AL141" s="22"/>
      <c r="AM141" s="22"/>
      <c r="AN141" s="22"/>
      <c r="AO141" s="22"/>
      <c r="AP141" s="22"/>
      <c r="AQ141" s="22"/>
    </row>
    <row r="142" spans="1:43"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2"/>
      <c r="Y142" s="22"/>
      <c r="Z142" s="22"/>
      <c r="AA142" s="22"/>
      <c r="AB142" s="22"/>
      <c r="AC142" s="22"/>
      <c r="AD142" s="22"/>
      <c r="AE142" s="22"/>
      <c r="AF142" s="22"/>
      <c r="AG142" s="22"/>
      <c r="AH142" s="22"/>
      <c r="AI142" s="22"/>
      <c r="AJ142" s="22"/>
      <c r="AK142" s="22"/>
      <c r="AL142" s="22"/>
      <c r="AM142" s="22"/>
      <c r="AN142" s="22"/>
      <c r="AO142" s="22"/>
      <c r="AP142" s="22"/>
      <c r="AQ142" s="22"/>
    </row>
    <row r="143" spans="1:43"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2"/>
      <c r="Y143" s="22"/>
      <c r="Z143" s="22"/>
      <c r="AA143" s="22"/>
      <c r="AB143" s="22"/>
      <c r="AC143" s="22"/>
      <c r="AD143" s="22"/>
      <c r="AE143" s="22"/>
      <c r="AF143" s="22"/>
      <c r="AG143" s="22"/>
      <c r="AH143" s="22"/>
      <c r="AI143" s="22"/>
      <c r="AJ143" s="22"/>
      <c r="AK143" s="22"/>
      <c r="AL143" s="22"/>
      <c r="AM143" s="22"/>
      <c r="AN143" s="22"/>
      <c r="AO143" s="22"/>
      <c r="AP143" s="22"/>
      <c r="AQ143" s="22"/>
    </row>
    <row r="144" spans="1:43"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2"/>
      <c r="Y144" s="22"/>
      <c r="Z144" s="22"/>
      <c r="AA144" s="22"/>
      <c r="AB144" s="22"/>
      <c r="AC144" s="22"/>
      <c r="AD144" s="22"/>
      <c r="AE144" s="22"/>
      <c r="AF144" s="22"/>
      <c r="AG144" s="22"/>
      <c r="AH144" s="22"/>
      <c r="AI144" s="22"/>
      <c r="AJ144" s="22"/>
      <c r="AK144" s="22"/>
      <c r="AL144" s="22"/>
      <c r="AM144" s="22"/>
      <c r="AN144" s="22"/>
      <c r="AO144" s="22"/>
      <c r="AP144" s="22"/>
      <c r="AQ144" s="22"/>
    </row>
    <row r="145" spans="1:43"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2"/>
      <c r="Y145" s="22"/>
      <c r="Z145" s="22"/>
      <c r="AA145" s="22"/>
      <c r="AB145" s="22"/>
      <c r="AC145" s="22"/>
      <c r="AD145" s="22"/>
      <c r="AE145" s="22"/>
      <c r="AF145" s="22"/>
      <c r="AG145" s="22"/>
      <c r="AH145" s="22"/>
      <c r="AI145" s="22"/>
      <c r="AJ145" s="22"/>
      <c r="AK145" s="22"/>
      <c r="AL145" s="22"/>
      <c r="AM145" s="22"/>
      <c r="AN145" s="22"/>
      <c r="AO145" s="22"/>
      <c r="AP145" s="22"/>
      <c r="AQ145" s="22"/>
    </row>
    <row r="146" spans="1:43"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2"/>
      <c r="Y146" s="22"/>
      <c r="Z146" s="22"/>
      <c r="AA146" s="22"/>
      <c r="AB146" s="22"/>
      <c r="AC146" s="22"/>
      <c r="AD146" s="22"/>
      <c r="AE146" s="22"/>
      <c r="AF146" s="22"/>
      <c r="AG146" s="22"/>
      <c r="AH146" s="22"/>
      <c r="AI146" s="22"/>
      <c r="AJ146" s="22"/>
      <c r="AK146" s="22"/>
      <c r="AL146" s="22"/>
      <c r="AM146" s="22"/>
      <c r="AN146" s="22"/>
      <c r="AO146" s="22"/>
      <c r="AP146" s="22"/>
      <c r="AQ146" s="22"/>
    </row>
    <row r="147" spans="1:43"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2"/>
      <c r="Y147" s="22"/>
      <c r="Z147" s="22"/>
      <c r="AA147" s="22"/>
      <c r="AB147" s="22"/>
      <c r="AC147" s="22"/>
      <c r="AD147" s="22"/>
      <c r="AE147" s="22"/>
      <c r="AF147" s="22"/>
      <c r="AG147" s="22"/>
      <c r="AH147" s="22"/>
      <c r="AI147" s="22"/>
      <c r="AJ147" s="22"/>
      <c r="AK147" s="22"/>
      <c r="AL147" s="22"/>
      <c r="AM147" s="22"/>
      <c r="AN147" s="22"/>
      <c r="AO147" s="22"/>
      <c r="AP147" s="22"/>
      <c r="AQ147" s="22"/>
    </row>
    <row r="148" spans="1:43"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2"/>
      <c r="Y148" s="22"/>
      <c r="Z148" s="22"/>
      <c r="AA148" s="22"/>
      <c r="AB148" s="22"/>
      <c r="AC148" s="22"/>
      <c r="AD148" s="22"/>
      <c r="AE148" s="22"/>
      <c r="AF148" s="22"/>
      <c r="AG148" s="22"/>
      <c r="AH148" s="22"/>
      <c r="AI148" s="22"/>
      <c r="AJ148" s="22"/>
      <c r="AK148" s="22"/>
      <c r="AL148" s="22"/>
      <c r="AM148" s="22"/>
      <c r="AN148" s="22"/>
      <c r="AO148" s="22"/>
      <c r="AP148" s="22"/>
      <c r="AQ148" s="22"/>
    </row>
    <row r="149" spans="1:43"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2"/>
      <c r="Y149" s="22"/>
      <c r="Z149" s="22"/>
      <c r="AA149" s="22"/>
      <c r="AB149" s="22"/>
      <c r="AC149" s="22"/>
      <c r="AD149" s="22"/>
      <c r="AE149" s="22"/>
      <c r="AF149" s="22"/>
      <c r="AG149" s="22"/>
      <c r="AH149" s="22"/>
      <c r="AI149" s="22"/>
      <c r="AJ149" s="22"/>
      <c r="AK149" s="22"/>
      <c r="AL149" s="22"/>
      <c r="AM149" s="22"/>
      <c r="AN149" s="22"/>
      <c r="AO149" s="22"/>
      <c r="AP149" s="22"/>
      <c r="AQ149" s="22"/>
    </row>
    <row r="150" spans="1:43"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2"/>
      <c r="Y150" s="22"/>
      <c r="Z150" s="22"/>
      <c r="AA150" s="22"/>
      <c r="AB150" s="22"/>
      <c r="AC150" s="22"/>
      <c r="AD150" s="22"/>
      <c r="AE150" s="22"/>
      <c r="AF150" s="22"/>
      <c r="AG150" s="22"/>
      <c r="AH150" s="22"/>
      <c r="AI150" s="22"/>
      <c r="AJ150" s="22"/>
      <c r="AK150" s="22"/>
      <c r="AL150" s="22"/>
      <c r="AM150" s="22"/>
      <c r="AN150" s="22"/>
      <c r="AO150" s="22"/>
      <c r="AP150" s="22"/>
      <c r="AQ150" s="22"/>
    </row>
    <row r="151" spans="1:43"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2"/>
      <c r="Y151" s="22"/>
      <c r="Z151" s="22"/>
      <c r="AA151" s="22"/>
      <c r="AB151" s="22"/>
      <c r="AC151" s="22"/>
      <c r="AD151" s="22"/>
      <c r="AE151" s="22"/>
      <c r="AF151" s="22"/>
      <c r="AG151" s="22"/>
      <c r="AH151" s="22"/>
      <c r="AI151" s="22"/>
      <c r="AJ151" s="22"/>
      <c r="AK151" s="22"/>
      <c r="AL151" s="22"/>
      <c r="AM151" s="22"/>
      <c r="AN151" s="22"/>
      <c r="AO151" s="22"/>
      <c r="AP151" s="22"/>
      <c r="AQ151" s="22"/>
    </row>
    <row r="152" spans="1:43"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2"/>
      <c r="Y152" s="22"/>
      <c r="Z152" s="22"/>
      <c r="AA152" s="22"/>
      <c r="AB152" s="22"/>
      <c r="AC152" s="22"/>
      <c r="AD152" s="22"/>
      <c r="AE152" s="22"/>
      <c r="AF152" s="22"/>
      <c r="AG152" s="22"/>
      <c r="AH152" s="22"/>
      <c r="AI152" s="22"/>
      <c r="AJ152" s="22"/>
      <c r="AK152" s="22"/>
      <c r="AL152" s="22"/>
      <c r="AM152" s="22"/>
      <c r="AN152" s="22"/>
      <c r="AO152" s="22"/>
      <c r="AP152" s="22"/>
      <c r="AQ152" s="22"/>
    </row>
    <row r="153" spans="1:43"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2"/>
      <c r="Y153" s="22"/>
      <c r="Z153" s="22"/>
      <c r="AA153" s="22"/>
      <c r="AB153" s="22"/>
      <c r="AC153" s="22"/>
      <c r="AD153" s="22"/>
      <c r="AE153" s="22"/>
      <c r="AF153" s="22"/>
      <c r="AG153" s="22"/>
      <c r="AH153" s="22"/>
      <c r="AI153" s="22"/>
      <c r="AJ153" s="22"/>
      <c r="AK153" s="22"/>
      <c r="AL153" s="22"/>
      <c r="AM153" s="22"/>
      <c r="AN153" s="22"/>
      <c r="AO153" s="22"/>
      <c r="AP153" s="22"/>
      <c r="AQ153" s="22"/>
    </row>
    <row r="154" spans="1:43"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2"/>
      <c r="Y154" s="22"/>
      <c r="Z154" s="22"/>
      <c r="AA154" s="22"/>
      <c r="AB154" s="22"/>
      <c r="AC154" s="22"/>
      <c r="AD154" s="22"/>
      <c r="AE154" s="22"/>
      <c r="AF154" s="22"/>
      <c r="AG154" s="22"/>
      <c r="AH154" s="22"/>
      <c r="AI154" s="22"/>
      <c r="AJ154" s="22"/>
      <c r="AK154" s="22"/>
      <c r="AL154" s="22"/>
      <c r="AM154" s="22"/>
      <c r="AN154" s="22"/>
      <c r="AO154" s="22"/>
      <c r="AP154" s="22"/>
      <c r="AQ154" s="22"/>
    </row>
    <row r="155" spans="1:43"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2"/>
      <c r="Y155" s="22"/>
      <c r="Z155" s="22"/>
      <c r="AA155" s="22"/>
      <c r="AB155" s="22"/>
      <c r="AC155" s="22"/>
      <c r="AD155" s="22"/>
      <c r="AE155" s="22"/>
      <c r="AF155" s="22"/>
      <c r="AG155" s="22"/>
      <c r="AH155" s="22"/>
      <c r="AI155" s="22"/>
      <c r="AJ155" s="22"/>
      <c r="AK155" s="22"/>
      <c r="AL155" s="22"/>
      <c r="AM155" s="22"/>
      <c r="AN155" s="22"/>
      <c r="AO155" s="22"/>
      <c r="AP155" s="22"/>
      <c r="AQ155" s="22"/>
    </row>
    <row r="156" spans="1:43"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2"/>
      <c r="Y156" s="22"/>
      <c r="Z156" s="22"/>
      <c r="AA156" s="22"/>
      <c r="AB156" s="22"/>
      <c r="AC156" s="22"/>
      <c r="AD156" s="22"/>
      <c r="AE156" s="22"/>
      <c r="AF156" s="22"/>
      <c r="AG156" s="22"/>
      <c r="AH156" s="22"/>
      <c r="AI156" s="22"/>
      <c r="AJ156" s="22"/>
      <c r="AK156" s="22"/>
      <c r="AL156" s="22"/>
      <c r="AM156" s="22"/>
      <c r="AN156" s="22"/>
      <c r="AO156" s="22"/>
      <c r="AP156" s="22"/>
      <c r="AQ156" s="22"/>
    </row>
    <row r="157" spans="1:43"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2"/>
      <c r="Y157" s="22"/>
      <c r="Z157" s="22"/>
      <c r="AA157" s="22"/>
      <c r="AB157" s="22"/>
      <c r="AC157" s="22"/>
      <c r="AD157" s="22"/>
      <c r="AE157" s="22"/>
      <c r="AF157" s="22"/>
      <c r="AG157" s="22"/>
      <c r="AH157" s="22"/>
      <c r="AI157" s="22"/>
      <c r="AJ157" s="22"/>
      <c r="AK157" s="22"/>
      <c r="AL157" s="22"/>
      <c r="AM157" s="22"/>
      <c r="AN157" s="22"/>
      <c r="AO157" s="22"/>
      <c r="AP157" s="22"/>
      <c r="AQ157" s="22"/>
    </row>
    <row r="158" spans="1:43"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2"/>
      <c r="Y158" s="22"/>
      <c r="Z158" s="22"/>
      <c r="AA158" s="22"/>
      <c r="AB158" s="22"/>
      <c r="AC158" s="22"/>
      <c r="AD158" s="22"/>
      <c r="AE158" s="22"/>
      <c r="AF158" s="22"/>
      <c r="AG158" s="22"/>
      <c r="AH158" s="22"/>
      <c r="AI158" s="22"/>
      <c r="AJ158" s="22"/>
      <c r="AK158" s="22"/>
      <c r="AL158" s="22"/>
      <c r="AM158" s="22"/>
      <c r="AN158" s="22"/>
      <c r="AO158" s="22"/>
      <c r="AP158" s="22"/>
      <c r="AQ158" s="22"/>
    </row>
    <row r="159" spans="1:43"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2"/>
      <c r="Y159" s="22"/>
      <c r="Z159" s="22"/>
      <c r="AA159" s="22"/>
      <c r="AB159" s="22"/>
      <c r="AC159" s="22"/>
      <c r="AD159" s="22"/>
      <c r="AE159" s="22"/>
      <c r="AF159" s="22"/>
      <c r="AG159" s="22"/>
      <c r="AH159" s="22"/>
      <c r="AI159" s="22"/>
      <c r="AJ159" s="22"/>
      <c r="AK159" s="22"/>
      <c r="AL159" s="22"/>
      <c r="AM159" s="22"/>
      <c r="AN159" s="22"/>
      <c r="AO159" s="22"/>
      <c r="AP159" s="22"/>
      <c r="AQ159" s="22"/>
    </row>
    <row r="160" spans="1:43"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2"/>
      <c r="Y160" s="22"/>
      <c r="Z160" s="22"/>
      <c r="AA160" s="22"/>
      <c r="AB160" s="22"/>
      <c r="AC160" s="22"/>
      <c r="AD160" s="22"/>
      <c r="AE160" s="22"/>
      <c r="AF160" s="22"/>
      <c r="AG160" s="22"/>
      <c r="AH160" s="22"/>
      <c r="AI160" s="22"/>
      <c r="AJ160" s="22"/>
      <c r="AK160" s="22"/>
      <c r="AL160" s="22"/>
      <c r="AM160" s="22"/>
      <c r="AN160" s="22"/>
      <c r="AO160" s="22"/>
      <c r="AP160" s="22"/>
      <c r="AQ160" s="22"/>
    </row>
    <row r="161" spans="1:43"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2"/>
      <c r="Y161" s="22"/>
      <c r="Z161" s="22"/>
      <c r="AA161" s="22"/>
      <c r="AB161" s="22"/>
      <c r="AC161" s="22"/>
      <c r="AD161" s="22"/>
      <c r="AE161" s="22"/>
      <c r="AF161" s="22"/>
      <c r="AG161" s="22"/>
      <c r="AH161" s="22"/>
      <c r="AI161" s="22"/>
      <c r="AJ161" s="22"/>
      <c r="AK161" s="22"/>
      <c r="AL161" s="22"/>
      <c r="AM161" s="22"/>
      <c r="AN161" s="22"/>
      <c r="AO161" s="22"/>
      <c r="AP161" s="22"/>
      <c r="AQ161" s="22"/>
    </row>
    <row r="162" spans="1:43"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2"/>
      <c r="Y162" s="22"/>
      <c r="Z162" s="22"/>
      <c r="AA162" s="22"/>
      <c r="AB162" s="22"/>
      <c r="AC162" s="22"/>
      <c r="AD162" s="22"/>
      <c r="AE162" s="22"/>
      <c r="AF162" s="22"/>
      <c r="AG162" s="22"/>
      <c r="AH162" s="22"/>
      <c r="AI162" s="22"/>
      <c r="AJ162" s="22"/>
      <c r="AK162" s="22"/>
      <c r="AL162" s="22"/>
      <c r="AM162" s="22"/>
      <c r="AN162" s="22"/>
      <c r="AO162" s="22"/>
      <c r="AP162" s="22"/>
      <c r="AQ162" s="22"/>
    </row>
    <row r="163" spans="1:43"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2"/>
      <c r="Y163" s="22"/>
      <c r="Z163" s="22"/>
      <c r="AA163" s="22"/>
      <c r="AB163" s="22"/>
      <c r="AC163" s="22"/>
      <c r="AD163" s="22"/>
      <c r="AE163" s="22"/>
      <c r="AF163" s="22"/>
      <c r="AG163" s="22"/>
      <c r="AH163" s="22"/>
      <c r="AI163" s="22"/>
      <c r="AJ163" s="22"/>
      <c r="AK163" s="22"/>
      <c r="AL163" s="22"/>
      <c r="AM163" s="22"/>
      <c r="AN163" s="22"/>
      <c r="AO163" s="22"/>
      <c r="AP163" s="22"/>
      <c r="AQ163" s="22"/>
    </row>
    <row r="164" spans="1:43"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2"/>
      <c r="Y164" s="22"/>
      <c r="Z164" s="22"/>
      <c r="AA164" s="22"/>
      <c r="AB164" s="22"/>
      <c r="AC164" s="22"/>
      <c r="AD164" s="22"/>
      <c r="AE164" s="22"/>
      <c r="AF164" s="22"/>
      <c r="AG164" s="22"/>
      <c r="AH164" s="22"/>
      <c r="AI164" s="22"/>
      <c r="AJ164" s="22"/>
      <c r="AK164" s="22"/>
      <c r="AL164" s="22"/>
      <c r="AM164" s="22"/>
      <c r="AN164" s="22"/>
      <c r="AO164" s="22"/>
      <c r="AP164" s="22"/>
      <c r="AQ164" s="22"/>
    </row>
    <row r="165" spans="1:43"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2"/>
      <c r="Y165" s="22"/>
      <c r="Z165" s="22"/>
      <c r="AA165" s="22"/>
      <c r="AB165" s="22"/>
      <c r="AC165" s="22"/>
      <c r="AD165" s="22"/>
      <c r="AE165" s="22"/>
      <c r="AF165" s="22"/>
      <c r="AG165" s="22"/>
      <c r="AH165" s="22"/>
      <c r="AI165" s="22"/>
      <c r="AJ165" s="22"/>
      <c r="AK165" s="22"/>
      <c r="AL165" s="22"/>
      <c r="AM165" s="22"/>
      <c r="AN165" s="22"/>
      <c r="AO165" s="22"/>
      <c r="AP165" s="22"/>
      <c r="AQ165" s="22"/>
    </row>
    <row r="166" spans="1:43"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2"/>
      <c r="Y166" s="22"/>
      <c r="Z166" s="22"/>
      <c r="AA166" s="22"/>
      <c r="AB166" s="22"/>
      <c r="AC166" s="22"/>
      <c r="AD166" s="22"/>
      <c r="AE166" s="22"/>
      <c r="AF166" s="22"/>
      <c r="AG166" s="22"/>
      <c r="AH166" s="22"/>
      <c r="AI166" s="22"/>
      <c r="AJ166" s="22"/>
      <c r="AK166" s="22"/>
      <c r="AL166" s="22"/>
      <c r="AM166" s="22"/>
      <c r="AN166" s="22"/>
      <c r="AO166" s="22"/>
      <c r="AP166" s="22"/>
      <c r="AQ166" s="22"/>
    </row>
    <row r="167" spans="1:43"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2"/>
      <c r="Y167" s="22"/>
      <c r="Z167" s="22"/>
      <c r="AA167" s="22"/>
      <c r="AB167" s="22"/>
      <c r="AC167" s="22"/>
      <c r="AD167" s="22"/>
      <c r="AE167" s="22"/>
      <c r="AF167" s="22"/>
      <c r="AG167" s="22"/>
      <c r="AH167" s="22"/>
      <c r="AI167" s="22"/>
      <c r="AJ167" s="22"/>
      <c r="AK167" s="22"/>
      <c r="AL167" s="22"/>
      <c r="AM167" s="22"/>
      <c r="AN167" s="22"/>
      <c r="AO167" s="22"/>
      <c r="AP167" s="22"/>
      <c r="AQ167" s="22"/>
    </row>
    <row r="168" spans="1:43"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2"/>
      <c r="Y168" s="22"/>
      <c r="Z168" s="22"/>
      <c r="AA168" s="22"/>
      <c r="AB168" s="22"/>
      <c r="AC168" s="22"/>
      <c r="AD168" s="22"/>
      <c r="AE168" s="22"/>
      <c r="AF168" s="22"/>
      <c r="AG168" s="22"/>
      <c r="AH168" s="22"/>
      <c r="AI168" s="22"/>
      <c r="AJ168" s="22"/>
      <c r="AK168" s="22"/>
      <c r="AL168" s="22"/>
      <c r="AM168" s="22"/>
      <c r="AN168" s="22"/>
      <c r="AO168" s="22"/>
      <c r="AP168" s="22"/>
      <c r="AQ168" s="22"/>
    </row>
    <row r="169" spans="1:43"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2"/>
      <c r="Y169" s="22"/>
      <c r="Z169" s="22"/>
      <c r="AA169" s="22"/>
      <c r="AB169" s="22"/>
      <c r="AC169" s="22"/>
      <c r="AD169" s="22"/>
      <c r="AE169" s="22"/>
      <c r="AF169" s="22"/>
      <c r="AG169" s="22"/>
      <c r="AH169" s="22"/>
      <c r="AI169" s="22"/>
      <c r="AJ169" s="22"/>
      <c r="AK169" s="22"/>
      <c r="AL169" s="22"/>
      <c r="AM169" s="22"/>
      <c r="AN169" s="22"/>
      <c r="AO169" s="22"/>
      <c r="AP169" s="22"/>
      <c r="AQ169" s="22"/>
    </row>
    <row r="170" spans="1:43"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2"/>
      <c r="Y170" s="22"/>
      <c r="Z170" s="22"/>
      <c r="AA170" s="22"/>
      <c r="AB170" s="22"/>
      <c r="AC170" s="22"/>
      <c r="AD170" s="22"/>
      <c r="AE170" s="22"/>
      <c r="AF170" s="22"/>
      <c r="AG170" s="22"/>
      <c r="AH170" s="22"/>
      <c r="AI170" s="22"/>
      <c r="AJ170" s="22"/>
      <c r="AK170" s="22"/>
      <c r="AL170" s="22"/>
      <c r="AM170" s="22"/>
      <c r="AN170" s="22"/>
      <c r="AO170" s="22"/>
      <c r="AP170" s="22"/>
      <c r="AQ170" s="22"/>
    </row>
    <row r="171" spans="1:43"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2"/>
      <c r="Y171" s="22"/>
      <c r="Z171" s="22"/>
      <c r="AA171" s="22"/>
      <c r="AB171" s="22"/>
      <c r="AC171" s="22"/>
      <c r="AD171" s="22"/>
      <c r="AE171" s="22"/>
      <c r="AF171" s="22"/>
      <c r="AG171" s="22"/>
      <c r="AH171" s="22"/>
      <c r="AI171" s="22"/>
      <c r="AJ171" s="22"/>
      <c r="AK171" s="22"/>
      <c r="AL171" s="22"/>
      <c r="AM171" s="22"/>
      <c r="AN171" s="22"/>
      <c r="AO171" s="22"/>
      <c r="AP171" s="22"/>
      <c r="AQ171" s="22"/>
    </row>
    <row r="172" spans="1:43"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2"/>
      <c r="Y172" s="22"/>
      <c r="Z172" s="22"/>
      <c r="AA172" s="22"/>
      <c r="AB172" s="22"/>
      <c r="AC172" s="22"/>
      <c r="AD172" s="22"/>
      <c r="AE172" s="22"/>
      <c r="AF172" s="22"/>
      <c r="AG172" s="22"/>
      <c r="AH172" s="22"/>
      <c r="AI172" s="22"/>
      <c r="AJ172" s="22"/>
      <c r="AK172" s="22"/>
      <c r="AL172" s="22"/>
      <c r="AM172" s="22"/>
      <c r="AN172" s="22"/>
      <c r="AO172" s="22"/>
      <c r="AP172" s="22"/>
      <c r="AQ172" s="22"/>
    </row>
    <row r="173" spans="1:43"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2"/>
      <c r="Y173" s="22"/>
      <c r="Z173" s="22"/>
      <c r="AA173" s="22"/>
      <c r="AB173" s="22"/>
      <c r="AC173" s="22"/>
      <c r="AD173" s="22"/>
      <c r="AE173" s="22"/>
      <c r="AF173" s="22"/>
      <c r="AG173" s="22"/>
      <c r="AH173" s="22"/>
      <c r="AI173" s="22"/>
      <c r="AJ173" s="22"/>
      <c r="AK173" s="22"/>
      <c r="AL173" s="22"/>
      <c r="AM173" s="22"/>
      <c r="AN173" s="22"/>
      <c r="AO173" s="22"/>
      <c r="AP173" s="22"/>
      <c r="AQ173" s="22"/>
    </row>
    <row r="174" spans="1:43"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2"/>
      <c r="Y174" s="22"/>
      <c r="Z174" s="22"/>
      <c r="AA174" s="22"/>
      <c r="AB174" s="22"/>
      <c r="AC174" s="22"/>
      <c r="AD174" s="22"/>
      <c r="AE174" s="22"/>
      <c r="AF174" s="22"/>
      <c r="AG174" s="22"/>
      <c r="AH174" s="22"/>
      <c r="AI174" s="22"/>
      <c r="AJ174" s="22"/>
      <c r="AK174" s="22"/>
      <c r="AL174" s="22"/>
      <c r="AM174" s="22"/>
      <c r="AN174" s="22"/>
      <c r="AO174" s="22"/>
      <c r="AP174" s="22"/>
      <c r="AQ174" s="22"/>
    </row>
    <row r="175" spans="1:43"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2"/>
      <c r="Y175" s="22"/>
      <c r="Z175" s="22"/>
      <c r="AA175" s="22"/>
      <c r="AB175" s="22"/>
      <c r="AC175" s="22"/>
      <c r="AD175" s="22"/>
      <c r="AE175" s="22"/>
      <c r="AF175" s="22"/>
      <c r="AG175" s="22"/>
      <c r="AH175" s="22"/>
      <c r="AI175" s="22"/>
      <c r="AJ175" s="22"/>
      <c r="AK175" s="22"/>
      <c r="AL175" s="22"/>
      <c r="AM175" s="22"/>
      <c r="AN175" s="22"/>
      <c r="AO175" s="22"/>
      <c r="AP175" s="22"/>
      <c r="AQ175" s="22"/>
    </row>
    <row r="176" spans="1:43"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2"/>
      <c r="Y176" s="22"/>
      <c r="Z176" s="22"/>
      <c r="AA176" s="22"/>
      <c r="AB176" s="22"/>
      <c r="AC176" s="22"/>
      <c r="AD176" s="22"/>
      <c r="AE176" s="22"/>
      <c r="AF176" s="22"/>
      <c r="AG176" s="22"/>
      <c r="AH176" s="22"/>
      <c r="AI176" s="22"/>
      <c r="AJ176" s="22"/>
      <c r="AK176" s="22"/>
      <c r="AL176" s="22"/>
      <c r="AM176" s="22"/>
      <c r="AN176" s="22"/>
      <c r="AO176" s="22"/>
      <c r="AP176" s="22"/>
      <c r="AQ176" s="22"/>
    </row>
    <row r="177" spans="1:43"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2"/>
      <c r="Y177" s="22"/>
      <c r="Z177" s="22"/>
      <c r="AA177" s="22"/>
      <c r="AB177" s="22"/>
      <c r="AC177" s="22"/>
      <c r="AD177" s="22"/>
      <c r="AE177" s="22"/>
      <c r="AF177" s="22"/>
      <c r="AG177" s="22"/>
      <c r="AH177" s="22"/>
      <c r="AI177" s="22"/>
      <c r="AJ177" s="22"/>
      <c r="AK177" s="22"/>
      <c r="AL177" s="22"/>
      <c r="AM177" s="22"/>
      <c r="AN177" s="22"/>
      <c r="AO177" s="22"/>
      <c r="AP177" s="22"/>
      <c r="AQ177" s="22"/>
    </row>
    <row r="178" spans="1:43"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2"/>
      <c r="Y178" s="22"/>
      <c r="Z178" s="22"/>
      <c r="AA178" s="22"/>
      <c r="AB178" s="22"/>
      <c r="AC178" s="22"/>
      <c r="AD178" s="22"/>
      <c r="AE178" s="22"/>
      <c r="AF178" s="22"/>
      <c r="AG178" s="22"/>
      <c r="AH178" s="22"/>
      <c r="AI178" s="22"/>
      <c r="AJ178" s="22"/>
      <c r="AK178" s="22"/>
      <c r="AL178" s="22"/>
      <c r="AM178" s="22"/>
      <c r="AN178" s="22"/>
      <c r="AO178" s="22"/>
      <c r="AP178" s="22"/>
      <c r="AQ178" s="22"/>
    </row>
    <row r="179" spans="1:43"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2"/>
      <c r="Y179" s="22"/>
      <c r="Z179" s="22"/>
      <c r="AA179" s="22"/>
      <c r="AB179" s="22"/>
      <c r="AC179" s="22"/>
      <c r="AD179" s="22"/>
      <c r="AE179" s="22"/>
      <c r="AF179" s="22"/>
      <c r="AG179" s="22"/>
      <c r="AH179" s="22"/>
      <c r="AI179" s="22"/>
      <c r="AJ179" s="22"/>
      <c r="AK179" s="22"/>
      <c r="AL179" s="22"/>
      <c r="AM179" s="22"/>
      <c r="AN179" s="22"/>
      <c r="AO179" s="22"/>
      <c r="AP179" s="22"/>
      <c r="AQ179" s="22"/>
    </row>
    <row r="180" spans="1:43"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2"/>
      <c r="Y180" s="22"/>
      <c r="Z180" s="22"/>
      <c r="AA180" s="22"/>
      <c r="AB180" s="22"/>
      <c r="AC180" s="22"/>
      <c r="AD180" s="22"/>
      <c r="AE180" s="22"/>
      <c r="AF180" s="22"/>
      <c r="AG180" s="22"/>
      <c r="AH180" s="22"/>
      <c r="AI180" s="22"/>
      <c r="AJ180" s="22"/>
      <c r="AK180" s="22"/>
      <c r="AL180" s="22"/>
      <c r="AM180" s="22"/>
      <c r="AN180" s="22"/>
      <c r="AO180" s="22"/>
      <c r="AP180" s="22"/>
      <c r="AQ180" s="22"/>
    </row>
    <row r="181" spans="1:43"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2"/>
      <c r="Y181" s="22"/>
      <c r="Z181" s="22"/>
      <c r="AA181" s="22"/>
      <c r="AB181" s="22"/>
      <c r="AC181" s="22"/>
      <c r="AD181" s="22"/>
      <c r="AE181" s="22"/>
      <c r="AF181" s="22"/>
      <c r="AG181" s="22"/>
      <c r="AH181" s="22"/>
      <c r="AI181" s="22"/>
      <c r="AJ181" s="22"/>
      <c r="AK181" s="22"/>
      <c r="AL181" s="22"/>
      <c r="AM181" s="22"/>
      <c r="AN181" s="22"/>
      <c r="AO181" s="22"/>
      <c r="AP181" s="22"/>
      <c r="AQ181" s="22"/>
    </row>
    <row r="182" spans="1:43"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2"/>
      <c r="Y182" s="22"/>
      <c r="Z182" s="22"/>
      <c r="AA182" s="22"/>
      <c r="AB182" s="22"/>
      <c r="AC182" s="22"/>
      <c r="AD182" s="22"/>
      <c r="AE182" s="22"/>
      <c r="AF182" s="22"/>
      <c r="AG182" s="22"/>
      <c r="AH182" s="22"/>
      <c r="AI182" s="22"/>
      <c r="AJ182" s="22"/>
      <c r="AK182" s="22"/>
      <c r="AL182" s="22"/>
      <c r="AM182" s="22"/>
      <c r="AN182" s="22"/>
      <c r="AO182" s="22"/>
      <c r="AP182" s="22"/>
      <c r="AQ182" s="22"/>
    </row>
    <row r="183" spans="1:43"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2"/>
      <c r="Y183" s="22"/>
      <c r="Z183" s="22"/>
      <c r="AA183" s="22"/>
      <c r="AB183" s="22"/>
      <c r="AC183" s="22"/>
      <c r="AD183" s="22"/>
      <c r="AE183" s="22"/>
      <c r="AF183" s="22"/>
      <c r="AG183" s="22"/>
      <c r="AH183" s="22"/>
      <c r="AI183" s="22"/>
      <c r="AJ183" s="22"/>
      <c r="AK183" s="22"/>
      <c r="AL183" s="22"/>
      <c r="AM183" s="22"/>
      <c r="AN183" s="22"/>
      <c r="AO183" s="22"/>
      <c r="AP183" s="22"/>
      <c r="AQ183" s="22"/>
    </row>
    <row r="184" spans="1:43"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2"/>
      <c r="Y184" s="22"/>
      <c r="Z184" s="22"/>
      <c r="AA184" s="22"/>
      <c r="AB184" s="22"/>
      <c r="AC184" s="22"/>
      <c r="AD184" s="22"/>
      <c r="AE184" s="22"/>
      <c r="AF184" s="22"/>
      <c r="AG184" s="22"/>
      <c r="AH184" s="22"/>
      <c r="AI184" s="22"/>
      <c r="AJ184" s="22"/>
      <c r="AK184" s="22"/>
      <c r="AL184" s="22"/>
      <c r="AM184" s="22"/>
      <c r="AN184" s="22"/>
      <c r="AO184" s="22"/>
      <c r="AP184" s="22"/>
      <c r="AQ184" s="22"/>
    </row>
    <row r="185" spans="1:43"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2"/>
      <c r="Y185" s="22"/>
      <c r="Z185" s="22"/>
      <c r="AA185" s="22"/>
      <c r="AB185" s="22"/>
      <c r="AC185" s="22"/>
      <c r="AD185" s="22"/>
      <c r="AE185" s="22"/>
      <c r="AF185" s="22"/>
      <c r="AG185" s="22"/>
      <c r="AH185" s="22"/>
      <c r="AI185" s="22"/>
      <c r="AJ185" s="22"/>
      <c r="AK185" s="22"/>
      <c r="AL185" s="22"/>
      <c r="AM185" s="22"/>
      <c r="AN185" s="22"/>
      <c r="AO185" s="22"/>
      <c r="AP185" s="22"/>
      <c r="AQ185" s="22"/>
    </row>
    <row r="186" spans="1:43"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2"/>
      <c r="Y186" s="22"/>
      <c r="Z186" s="22"/>
      <c r="AA186" s="22"/>
      <c r="AB186" s="22"/>
      <c r="AC186" s="22"/>
      <c r="AD186" s="22"/>
      <c r="AE186" s="22"/>
      <c r="AF186" s="22"/>
      <c r="AG186" s="22"/>
      <c r="AH186" s="22"/>
      <c r="AI186" s="22"/>
      <c r="AJ186" s="22"/>
      <c r="AK186" s="22"/>
      <c r="AL186" s="22"/>
      <c r="AM186" s="22"/>
      <c r="AN186" s="22"/>
      <c r="AO186" s="22"/>
      <c r="AP186" s="22"/>
      <c r="AQ186" s="22"/>
    </row>
    <row r="187" spans="1:43"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2"/>
      <c r="Y187" s="22"/>
      <c r="Z187" s="22"/>
      <c r="AA187" s="22"/>
      <c r="AB187" s="22"/>
      <c r="AC187" s="22"/>
      <c r="AD187" s="22"/>
      <c r="AE187" s="22"/>
      <c r="AF187" s="22"/>
      <c r="AG187" s="22"/>
      <c r="AH187" s="22"/>
      <c r="AI187" s="22"/>
      <c r="AJ187" s="22"/>
      <c r="AK187" s="22"/>
      <c r="AL187" s="22"/>
      <c r="AM187" s="22"/>
      <c r="AN187" s="22"/>
      <c r="AO187" s="22"/>
      <c r="AP187" s="22"/>
      <c r="AQ187" s="22"/>
    </row>
    <row r="188" spans="1:43"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2"/>
      <c r="Y188" s="22"/>
      <c r="Z188" s="22"/>
      <c r="AA188" s="22"/>
      <c r="AB188" s="22"/>
      <c r="AC188" s="22"/>
      <c r="AD188" s="22"/>
      <c r="AE188" s="22"/>
      <c r="AF188" s="22"/>
      <c r="AG188" s="22"/>
      <c r="AH188" s="22"/>
      <c r="AI188" s="22"/>
      <c r="AJ188" s="22"/>
      <c r="AK188" s="22"/>
      <c r="AL188" s="22"/>
      <c r="AM188" s="22"/>
      <c r="AN188" s="22"/>
      <c r="AO188" s="22"/>
      <c r="AP188" s="22"/>
      <c r="AQ188" s="22"/>
    </row>
    <row r="189" spans="1:43"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2"/>
      <c r="Y189" s="22"/>
      <c r="Z189" s="22"/>
      <c r="AA189" s="22"/>
      <c r="AB189" s="22"/>
      <c r="AC189" s="22"/>
      <c r="AD189" s="22"/>
      <c r="AE189" s="22"/>
      <c r="AF189" s="22"/>
      <c r="AG189" s="22"/>
      <c r="AH189" s="22"/>
      <c r="AI189" s="22"/>
      <c r="AJ189" s="22"/>
      <c r="AK189" s="22"/>
      <c r="AL189" s="22"/>
      <c r="AM189" s="22"/>
      <c r="AN189" s="22"/>
      <c r="AO189" s="22"/>
      <c r="AP189" s="22"/>
      <c r="AQ189" s="22"/>
    </row>
    <row r="190" spans="1:43"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2"/>
      <c r="Y190" s="22"/>
      <c r="Z190" s="22"/>
      <c r="AA190" s="22"/>
      <c r="AB190" s="22"/>
      <c r="AC190" s="22"/>
      <c r="AD190" s="22"/>
      <c r="AE190" s="22"/>
      <c r="AF190" s="22"/>
      <c r="AG190" s="22"/>
      <c r="AH190" s="22"/>
      <c r="AI190" s="22"/>
      <c r="AJ190" s="22"/>
      <c r="AK190" s="22"/>
      <c r="AL190" s="22"/>
      <c r="AM190" s="22"/>
      <c r="AN190" s="22"/>
      <c r="AO190" s="22"/>
      <c r="AP190" s="22"/>
      <c r="AQ190" s="22"/>
    </row>
    <row r="191" spans="1:43"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2"/>
      <c r="Y191" s="22"/>
      <c r="Z191" s="22"/>
      <c r="AA191" s="22"/>
      <c r="AB191" s="22"/>
      <c r="AC191" s="22"/>
      <c r="AD191" s="22"/>
      <c r="AE191" s="22"/>
      <c r="AF191" s="22"/>
      <c r="AG191" s="22"/>
      <c r="AH191" s="22"/>
      <c r="AI191" s="22"/>
      <c r="AJ191" s="22"/>
      <c r="AK191" s="22"/>
      <c r="AL191" s="22"/>
      <c r="AM191" s="22"/>
      <c r="AN191" s="22"/>
      <c r="AO191" s="22"/>
      <c r="AP191" s="22"/>
      <c r="AQ191" s="22"/>
    </row>
    <row r="192" spans="1:43"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2"/>
      <c r="Y192" s="22"/>
      <c r="Z192" s="22"/>
      <c r="AA192" s="22"/>
      <c r="AB192" s="22"/>
      <c r="AC192" s="22"/>
      <c r="AD192" s="22"/>
      <c r="AE192" s="22"/>
      <c r="AF192" s="22"/>
      <c r="AG192" s="22"/>
      <c r="AH192" s="22"/>
      <c r="AI192" s="22"/>
      <c r="AJ192" s="22"/>
      <c r="AK192" s="22"/>
      <c r="AL192" s="22"/>
      <c r="AM192" s="22"/>
      <c r="AN192" s="22"/>
      <c r="AO192" s="22"/>
      <c r="AP192" s="22"/>
      <c r="AQ192" s="22"/>
    </row>
    <row r="193" spans="1:43"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2"/>
      <c r="Y193" s="22"/>
      <c r="Z193" s="22"/>
      <c r="AA193" s="22"/>
      <c r="AB193" s="22"/>
      <c r="AC193" s="22"/>
      <c r="AD193" s="22"/>
      <c r="AE193" s="22"/>
      <c r="AF193" s="22"/>
      <c r="AG193" s="22"/>
      <c r="AH193" s="22"/>
      <c r="AI193" s="22"/>
      <c r="AJ193" s="22"/>
      <c r="AK193" s="22"/>
      <c r="AL193" s="22"/>
      <c r="AM193" s="22"/>
      <c r="AN193" s="22"/>
      <c r="AO193" s="22"/>
      <c r="AP193" s="22"/>
      <c r="AQ193" s="22"/>
    </row>
    <row r="194" spans="1:43"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2"/>
      <c r="Y194" s="22"/>
      <c r="Z194" s="22"/>
      <c r="AA194" s="22"/>
      <c r="AB194" s="22"/>
      <c r="AC194" s="22"/>
      <c r="AD194" s="22"/>
      <c r="AE194" s="22"/>
      <c r="AF194" s="22"/>
      <c r="AG194" s="22"/>
      <c r="AH194" s="22"/>
      <c r="AI194" s="22"/>
      <c r="AJ194" s="22"/>
      <c r="AK194" s="22"/>
      <c r="AL194" s="22"/>
      <c r="AM194" s="22"/>
      <c r="AN194" s="22"/>
      <c r="AO194" s="22"/>
      <c r="AP194" s="22"/>
      <c r="AQ194" s="22"/>
    </row>
    <row r="195" spans="1:43"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2"/>
      <c r="Y195" s="22"/>
      <c r="Z195" s="22"/>
      <c r="AA195" s="22"/>
      <c r="AB195" s="22"/>
      <c r="AC195" s="22"/>
      <c r="AD195" s="22"/>
      <c r="AE195" s="22"/>
      <c r="AF195" s="22"/>
      <c r="AG195" s="22"/>
      <c r="AH195" s="22"/>
      <c r="AI195" s="22"/>
      <c r="AJ195" s="22"/>
      <c r="AK195" s="22"/>
      <c r="AL195" s="22"/>
      <c r="AM195" s="22"/>
      <c r="AN195" s="22"/>
      <c r="AO195" s="22"/>
      <c r="AP195" s="22"/>
      <c r="AQ195" s="22"/>
    </row>
    <row r="196" spans="1:43"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2"/>
      <c r="Y196" s="22"/>
      <c r="Z196" s="22"/>
      <c r="AA196" s="22"/>
      <c r="AB196" s="22"/>
      <c r="AC196" s="22"/>
      <c r="AD196" s="22"/>
      <c r="AE196" s="22"/>
      <c r="AF196" s="22"/>
      <c r="AG196" s="22"/>
      <c r="AH196" s="22"/>
      <c r="AI196" s="22"/>
      <c r="AJ196" s="22"/>
      <c r="AK196" s="22"/>
      <c r="AL196" s="22"/>
      <c r="AM196" s="22"/>
      <c r="AN196" s="22"/>
      <c r="AO196" s="22"/>
      <c r="AP196" s="22"/>
      <c r="AQ196" s="22"/>
    </row>
    <row r="197" spans="1:43"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2"/>
      <c r="Y197" s="22"/>
      <c r="Z197" s="22"/>
      <c r="AA197" s="22"/>
      <c r="AB197" s="22"/>
      <c r="AC197" s="22"/>
      <c r="AD197" s="22"/>
      <c r="AE197" s="22"/>
      <c r="AF197" s="22"/>
      <c r="AG197" s="22"/>
      <c r="AH197" s="22"/>
      <c r="AI197" s="22"/>
      <c r="AJ197" s="22"/>
      <c r="AK197" s="22"/>
      <c r="AL197" s="22"/>
      <c r="AM197" s="22"/>
      <c r="AN197" s="22"/>
      <c r="AO197" s="22"/>
      <c r="AP197" s="22"/>
      <c r="AQ197" s="22"/>
    </row>
    <row r="198" spans="1:43"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2"/>
      <c r="Y198" s="22"/>
      <c r="Z198" s="22"/>
      <c r="AA198" s="22"/>
      <c r="AB198" s="22"/>
      <c r="AC198" s="22"/>
      <c r="AD198" s="22"/>
      <c r="AE198" s="22"/>
      <c r="AF198" s="22"/>
      <c r="AG198" s="22"/>
      <c r="AH198" s="22"/>
      <c r="AI198" s="22"/>
      <c r="AJ198" s="22"/>
      <c r="AK198" s="22"/>
      <c r="AL198" s="22"/>
      <c r="AM198" s="22"/>
      <c r="AN198" s="22"/>
      <c r="AO198" s="22"/>
      <c r="AP198" s="22"/>
      <c r="AQ198" s="22"/>
    </row>
    <row r="199" spans="1:43"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2"/>
      <c r="Y199" s="22"/>
      <c r="Z199" s="22"/>
      <c r="AA199" s="22"/>
      <c r="AB199" s="22"/>
      <c r="AC199" s="22"/>
      <c r="AD199" s="22"/>
      <c r="AE199" s="22"/>
      <c r="AF199" s="22"/>
      <c r="AG199" s="22"/>
      <c r="AH199" s="22"/>
      <c r="AI199" s="22"/>
      <c r="AJ199" s="22"/>
      <c r="AK199" s="22"/>
      <c r="AL199" s="22"/>
      <c r="AM199" s="22"/>
      <c r="AN199" s="22"/>
      <c r="AO199" s="22"/>
      <c r="AP199" s="22"/>
      <c r="AQ199" s="22"/>
    </row>
    <row r="200" spans="1:43"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2"/>
      <c r="Y200" s="22"/>
      <c r="Z200" s="22"/>
      <c r="AA200" s="22"/>
      <c r="AB200" s="22"/>
      <c r="AC200" s="22"/>
      <c r="AD200" s="22"/>
      <c r="AE200" s="22"/>
      <c r="AF200" s="22"/>
      <c r="AG200" s="22"/>
      <c r="AH200" s="22"/>
      <c r="AI200" s="22"/>
      <c r="AJ200" s="22"/>
      <c r="AK200" s="22"/>
      <c r="AL200" s="22"/>
      <c r="AM200" s="22"/>
      <c r="AN200" s="22"/>
      <c r="AO200" s="22"/>
      <c r="AP200" s="22"/>
      <c r="AQ200" s="22"/>
    </row>
    <row r="201" spans="1:43"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2"/>
      <c r="Y201" s="22"/>
      <c r="Z201" s="22"/>
      <c r="AA201" s="22"/>
      <c r="AB201" s="22"/>
      <c r="AC201" s="22"/>
      <c r="AD201" s="22"/>
      <c r="AE201" s="22"/>
      <c r="AF201" s="22"/>
      <c r="AG201" s="22"/>
      <c r="AH201" s="22"/>
      <c r="AI201" s="22"/>
      <c r="AJ201" s="22"/>
      <c r="AK201" s="22"/>
      <c r="AL201" s="22"/>
      <c r="AM201" s="22"/>
      <c r="AN201" s="22"/>
      <c r="AO201" s="22"/>
      <c r="AP201" s="22"/>
      <c r="AQ201" s="22"/>
    </row>
    <row r="202" spans="1:43"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2"/>
      <c r="Y202" s="22"/>
      <c r="Z202" s="22"/>
      <c r="AA202" s="22"/>
      <c r="AB202" s="22"/>
      <c r="AC202" s="22"/>
      <c r="AD202" s="22"/>
      <c r="AE202" s="22"/>
      <c r="AF202" s="22"/>
      <c r="AG202" s="22"/>
      <c r="AH202" s="22"/>
      <c r="AI202" s="22"/>
      <c r="AJ202" s="22"/>
      <c r="AK202" s="22"/>
      <c r="AL202" s="22"/>
      <c r="AM202" s="22"/>
      <c r="AN202" s="22"/>
      <c r="AO202" s="22"/>
      <c r="AP202" s="22"/>
      <c r="AQ202" s="22"/>
    </row>
    <row r="203" spans="1:43"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2"/>
      <c r="Y203" s="22"/>
      <c r="Z203" s="22"/>
      <c r="AA203" s="22"/>
      <c r="AB203" s="22"/>
      <c r="AC203" s="22"/>
      <c r="AD203" s="22"/>
      <c r="AE203" s="22"/>
      <c r="AF203" s="22"/>
      <c r="AG203" s="22"/>
      <c r="AH203" s="22"/>
      <c r="AI203" s="22"/>
      <c r="AJ203" s="22"/>
      <c r="AK203" s="22"/>
      <c r="AL203" s="22"/>
      <c r="AM203" s="22"/>
      <c r="AN203" s="22"/>
      <c r="AO203" s="22"/>
      <c r="AP203" s="22"/>
      <c r="AQ203" s="22"/>
    </row>
    <row r="204" spans="1:43"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2"/>
      <c r="Y204" s="22"/>
      <c r="Z204" s="22"/>
      <c r="AA204" s="22"/>
      <c r="AB204" s="22"/>
      <c r="AC204" s="22"/>
      <c r="AD204" s="22"/>
      <c r="AE204" s="22"/>
      <c r="AF204" s="22"/>
      <c r="AG204" s="22"/>
      <c r="AH204" s="22"/>
      <c r="AI204" s="22"/>
      <c r="AJ204" s="22"/>
      <c r="AK204" s="22"/>
      <c r="AL204" s="22"/>
      <c r="AM204" s="22"/>
      <c r="AN204" s="22"/>
      <c r="AO204" s="22"/>
      <c r="AP204" s="22"/>
      <c r="AQ204" s="22"/>
    </row>
    <row r="205" spans="1:43"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2"/>
      <c r="Y205" s="22"/>
      <c r="Z205" s="22"/>
      <c r="AA205" s="22"/>
      <c r="AB205" s="22"/>
      <c r="AC205" s="22"/>
      <c r="AD205" s="22"/>
      <c r="AE205" s="22"/>
      <c r="AF205" s="22"/>
      <c r="AG205" s="22"/>
      <c r="AH205" s="22"/>
      <c r="AI205" s="22"/>
      <c r="AJ205" s="22"/>
      <c r="AK205" s="22"/>
      <c r="AL205" s="22"/>
      <c r="AM205" s="22"/>
      <c r="AN205" s="22"/>
      <c r="AO205" s="22"/>
      <c r="AP205" s="22"/>
      <c r="AQ205" s="22"/>
    </row>
    <row r="206" spans="1:43"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2"/>
      <c r="Y206" s="22"/>
      <c r="Z206" s="22"/>
      <c r="AA206" s="22"/>
      <c r="AB206" s="22"/>
      <c r="AC206" s="22"/>
      <c r="AD206" s="22"/>
      <c r="AE206" s="22"/>
      <c r="AF206" s="22"/>
      <c r="AG206" s="22"/>
      <c r="AH206" s="22"/>
      <c r="AI206" s="22"/>
      <c r="AJ206" s="22"/>
      <c r="AK206" s="22"/>
      <c r="AL206" s="22"/>
      <c r="AM206" s="22"/>
      <c r="AN206" s="22"/>
      <c r="AO206" s="22"/>
      <c r="AP206" s="22"/>
      <c r="AQ206" s="22"/>
    </row>
    <row r="207" spans="1:43"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2"/>
      <c r="Y207" s="22"/>
      <c r="Z207" s="22"/>
      <c r="AA207" s="22"/>
      <c r="AB207" s="22"/>
      <c r="AC207" s="22"/>
      <c r="AD207" s="22"/>
      <c r="AE207" s="22"/>
      <c r="AF207" s="22"/>
      <c r="AG207" s="22"/>
      <c r="AH207" s="22"/>
      <c r="AI207" s="22"/>
      <c r="AJ207" s="22"/>
      <c r="AK207" s="22"/>
      <c r="AL207" s="22"/>
      <c r="AM207" s="22"/>
      <c r="AN207" s="22"/>
      <c r="AO207" s="22"/>
      <c r="AP207" s="22"/>
      <c r="AQ207" s="22"/>
    </row>
    <row r="208" spans="1:43"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2"/>
      <c r="Y208" s="22"/>
      <c r="Z208" s="22"/>
      <c r="AA208" s="22"/>
      <c r="AB208" s="22"/>
      <c r="AC208" s="22"/>
      <c r="AD208" s="22"/>
      <c r="AE208" s="22"/>
      <c r="AF208" s="22"/>
      <c r="AG208" s="22"/>
      <c r="AH208" s="22"/>
      <c r="AI208" s="22"/>
      <c r="AJ208" s="22"/>
      <c r="AK208" s="22"/>
      <c r="AL208" s="22"/>
      <c r="AM208" s="22"/>
      <c r="AN208" s="22"/>
      <c r="AO208" s="22"/>
      <c r="AP208" s="22"/>
      <c r="AQ208" s="22"/>
    </row>
    <row r="209" spans="1:43"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2"/>
      <c r="Y209" s="22"/>
      <c r="Z209" s="22"/>
      <c r="AA209" s="22"/>
      <c r="AB209" s="22"/>
      <c r="AC209" s="22"/>
      <c r="AD209" s="22"/>
      <c r="AE209" s="22"/>
      <c r="AF209" s="22"/>
      <c r="AG209" s="22"/>
      <c r="AH209" s="22"/>
      <c r="AI209" s="22"/>
      <c r="AJ209" s="22"/>
      <c r="AK209" s="22"/>
      <c r="AL209" s="22"/>
      <c r="AM209" s="22"/>
      <c r="AN209" s="22"/>
      <c r="AO209" s="22"/>
      <c r="AP209" s="22"/>
      <c r="AQ209" s="22"/>
    </row>
    <row r="210" spans="1:43"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2"/>
      <c r="Y210" s="22"/>
      <c r="Z210" s="22"/>
      <c r="AA210" s="22"/>
      <c r="AB210" s="22"/>
      <c r="AC210" s="22"/>
      <c r="AD210" s="22"/>
      <c r="AE210" s="22"/>
      <c r="AF210" s="22"/>
      <c r="AG210" s="22"/>
      <c r="AH210" s="22"/>
      <c r="AI210" s="22"/>
      <c r="AJ210" s="22"/>
      <c r="AK210" s="22"/>
      <c r="AL210" s="22"/>
      <c r="AM210" s="22"/>
      <c r="AN210" s="22"/>
      <c r="AO210" s="22"/>
      <c r="AP210" s="22"/>
      <c r="AQ210" s="22"/>
    </row>
    <row r="211" spans="1:43"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2"/>
      <c r="Y211" s="22"/>
      <c r="Z211" s="22"/>
      <c r="AA211" s="22"/>
      <c r="AB211" s="22"/>
      <c r="AC211" s="22"/>
      <c r="AD211" s="22"/>
      <c r="AE211" s="22"/>
      <c r="AF211" s="22"/>
      <c r="AG211" s="22"/>
      <c r="AH211" s="22"/>
      <c r="AI211" s="22"/>
      <c r="AJ211" s="22"/>
      <c r="AK211" s="22"/>
      <c r="AL211" s="22"/>
      <c r="AM211" s="22"/>
      <c r="AN211" s="22"/>
      <c r="AO211" s="22"/>
      <c r="AP211" s="22"/>
      <c r="AQ211" s="22"/>
    </row>
    <row r="212" spans="1:43"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2"/>
      <c r="Y212" s="22"/>
      <c r="Z212" s="22"/>
      <c r="AA212" s="22"/>
      <c r="AB212" s="22"/>
      <c r="AC212" s="22"/>
      <c r="AD212" s="22"/>
      <c r="AE212" s="22"/>
      <c r="AF212" s="22"/>
      <c r="AG212" s="22"/>
      <c r="AH212" s="22"/>
      <c r="AI212" s="22"/>
      <c r="AJ212" s="22"/>
      <c r="AK212" s="22"/>
      <c r="AL212" s="22"/>
      <c r="AM212" s="22"/>
      <c r="AN212" s="22"/>
      <c r="AO212" s="22"/>
      <c r="AP212" s="22"/>
      <c r="AQ212" s="22"/>
    </row>
    <row r="213" spans="1:43"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2"/>
      <c r="Y213" s="22"/>
      <c r="Z213" s="22"/>
      <c r="AA213" s="22"/>
      <c r="AB213" s="22"/>
      <c r="AC213" s="22"/>
      <c r="AD213" s="22"/>
      <c r="AE213" s="22"/>
      <c r="AF213" s="22"/>
      <c r="AG213" s="22"/>
      <c r="AH213" s="22"/>
      <c r="AI213" s="22"/>
      <c r="AJ213" s="22"/>
      <c r="AK213" s="22"/>
      <c r="AL213" s="22"/>
      <c r="AM213" s="22"/>
      <c r="AN213" s="22"/>
      <c r="AO213" s="22"/>
      <c r="AP213" s="22"/>
      <c r="AQ213" s="22"/>
    </row>
    <row r="214" spans="1:43"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2"/>
      <c r="Y214" s="22"/>
      <c r="Z214" s="22"/>
      <c r="AA214" s="22"/>
      <c r="AB214" s="22"/>
      <c r="AC214" s="22"/>
      <c r="AD214" s="22"/>
      <c r="AE214" s="22"/>
      <c r="AF214" s="22"/>
      <c r="AG214" s="22"/>
      <c r="AH214" s="22"/>
      <c r="AI214" s="22"/>
      <c r="AJ214" s="22"/>
      <c r="AK214" s="22"/>
      <c r="AL214" s="22"/>
      <c r="AM214" s="22"/>
      <c r="AN214" s="22"/>
      <c r="AO214" s="22"/>
      <c r="AP214" s="22"/>
      <c r="AQ214" s="22"/>
    </row>
    <row r="215" spans="1:43"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2"/>
      <c r="Y215" s="22"/>
      <c r="Z215" s="22"/>
      <c r="AA215" s="22"/>
      <c r="AB215" s="22"/>
      <c r="AC215" s="22"/>
      <c r="AD215" s="22"/>
      <c r="AE215" s="22"/>
      <c r="AF215" s="22"/>
      <c r="AG215" s="22"/>
      <c r="AH215" s="22"/>
      <c r="AI215" s="22"/>
      <c r="AJ215" s="22"/>
      <c r="AK215" s="22"/>
      <c r="AL215" s="22"/>
      <c r="AM215" s="22"/>
      <c r="AN215" s="22"/>
      <c r="AO215" s="22"/>
      <c r="AP215" s="22"/>
      <c r="AQ215" s="22"/>
    </row>
    <row r="216" spans="1:43"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2"/>
      <c r="Y216" s="22"/>
      <c r="Z216" s="22"/>
      <c r="AA216" s="22"/>
      <c r="AB216" s="22"/>
      <c r="AC216" s="22"/>
      <c r="AD216" s="22"/>
      <c r="AE216" s="22"/>
      <c r="AF216" s="22"/>
      <c r="AG216" s="22"/>
      <c r="AH216" s="22"/>
      <c r="AI216" s="22"/>
      <c r="AJ216" s="22"/>
      <c r="AK216" s="22"/>
      <c r="AL216" s="22"/>
      <c r="AM216" s="22"/>
      <c r="AN216" s="22"/>
      <c r="AO216" s="22"/>
      <c r="AP216" s="22"/>
      <c r="AQ216" s="22"/>
    </row>
    <row r="217" spans="1:43"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2"/>
      <c r="Y217" s="22"/>
      <c r="Z217" s="22"/>
      <c r="AA217" s="22"/>
      <c r="AB217" s="22"/>
      <c r="AC217" s="22"/>
      <c r="AD217" s="22"/>
      <c r="AE217" s="22"/>
      <c r="AF217" s="22"/>
      <c r="AG217" s="22"/>
      <c r="AH217" s="22"/>
      <c r="AI217" s="22"/>
      <c r="AJ217" s="22"/>
      <c r="AK217" s="22"/>
      <c r="AL217" s="22"/>
      <c r="AM217" s="22"/>
      <c r="AN217" s="22"/>
      <c r="AO217" s="22"/>
      <c r="AP217" s="22"/>
      <c r="AQ217" s="22"/>
    </row>
    <row r="218" spans="1:43"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2"/>
      <c r="Y218" s="22"/>
      <c r="Z218" s="22"/>
      <c r="AA218" s="22"/>
      <c r="AB218" s="22"/>
      <c r="AC218" s="22"/>
      <c r="AD218" s="22"/>
      <c r="AE218" s="22"/>
      <c r="AF218" s="22"/>
      <c r="AG218" s="22"/>
      <c r="AH218" s="22"/>
      <c r="AI218" s="22"/>
      <c r="AJ218" s="22"/>
      <c r="AK218" s="22"/>
      <c r="AL218" s="22"/>
      <c r="AM218" s="22"/>
      <c r="AN218" s="22"/>
      <c r="AO218" s="22"/>
      <c r="AP218" s="22"/>
      <c r="AQ218" s="22"/>
    </row>
    <row r="219" spans="1:43"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2"/>
      <c r="Y219" s="22"/>
      <c r="Z219" s="22"/>
      <c r="AA219" s="22"/>
      <c r="AB219" s="22"/>
      <c r="AC219" s="22"/>
      <c r="AD219" s="22"/>
      <c r="AE219" s="22"/>
      <c r="AF219" s="22"/>
      <c r="AG219" s="22"/>
      <c r="AH219" s="22"/>
      <c r="AI219" s="22"/>
      <c r="AJ219" s="22"/>
      <c r="AK219" s="22"/>
      <c r="AL219" s="22"/>
      <c r="AM219" s="22"/>
      <c r="AN219" s="22"/>
      <c r="AO219" s="22"/>
      <c r="AP219" s="22"/>
      <c r="AQ219" s="22"/>
    </row>
    <row r="220" spans="1:43"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2"/>
      <c r="Y220" s="22"/>
      <c r="Z220" s="22"/>
      <c r="AA220" s="22"/>
      <c r="AB220" s="22"/>
      <c r="AC220" s="22"/>
      <c r="AD220" s="22"/>
      <c r="AE220" s="22"/>
      <c r="AF220" s="22"/>
      <c r="AG220" s="22"/>
      <c r="AH220" s="22"/>
      <c r="AI220" s="22"/>
      <c r="AJ220" s="22"/>
      <c r="AK220" s="22"/>
      <c r="AL220" s="22"/>
      <c r="AM220" s="22"/>
      <c r="AN220" s="22"/>
      <c r="AO220" s="22"/>
      <c r="AP220" s="22"/>
      <c r="AQ220" s="22"/>
    </row>
    <row r="221" spans="1:43"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2"/>
      <c r="Y221" s="22"/>
      <c r="Z221" s="22"/>
      <c r="AA221" s="22"/>
      <c r="AB221" s="22"/>
      <c r="AC221" s="22"/>
      <c r="AD221" s="22"/>
      <c r="AE221" s="22"/>
      <c r="AF221" s="22"/>
      <c r="AG221" s="22"/>
      <c r="AH221" s="22"/>
      <c r="AI221" s="22"/>
      <c r="AJ221" s="22"/>
      <c r="AK221" s="22"/>
      <c r="AL221" s="22"/>
      <c r="AM221" s="22"/>
      <c r="AN221" s="22"/>
      <c r="AO221" s="22"/>
      <c r="AP221" s="22"/>
      <c r="AQ221" s="22"/>
    </row>
    <row r="222" spans="1:43"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2"/>
      <c r="Y222" s="22"/>
      <c r="Z222" s="22"/>
      <c r="AA222" s="22"/>
      <c r="AB222" s="22"/>
      <c r="AC222" s="22"/>
      <c r="AD222" s="22"/>
      <c r="AE222" s="22"/>
      <c r="AF222" s="22"/>
      <c r="AG222" s="22"/>
      <c r="AH222" s="22"/>
      <c r="AI222" s="22"/>
      <c r="AJ222" s="22"/>
      <c r="AK222" s="22"/>
      <c r="AL222" s="22"/>
      <c r="AM222" s="22"/>
      <c r="AN222" s="22"/>
      <c r="AO222" s="22"/>
      <c r="AP222" s="22"/>
      <c r="AQ222" s="22"/>
    </row>
    <row r="223" spans="1:43"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2"/>
      <c r="Y223" s="22"/>
      <c r="Z223" s="22"/>
      <c r="AA223" s="22"/>
      <c r="AB223" s="22"/>
      <c r="AC223" s="22"/>
      <c r="AD223" s="22"/>
      <c r="AE223" s="22"/>
      <c r="AF223" s="22"/>
      <c r="AG223" s="22"/>
      <c r="AH223" s="22"/>
      <c r="AI223" s="22"/>
      <c r="AJ223" s="22"/>
      <c r="AK223" s="22"/>
      <c r="AL223" s="22"/>
      <c r="AM223" s="22"/>
      <c r="AN223" s="22"/>
      <c r="AO223" s="22"/>
      <c r="AP223" s="22"/>
      <c r="AQ223" s="22"/>
    </row>
    <row r="224" spans="1:43"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2"/>
      <c r="Y224" s="22"/>
      <c r="Z224" s="22"/>
      <c r="AA224" s="22"/>
      <c r="AB224" s="22"/>
      <c r="AC224" s="22"/>
      <c r="AD224" s="22"/>
      <c r="AE224" s="22"/>
      <c r="AF224" s="22"/>
      <c r="AG224" s="22"/>
      <c r="AH224" s="22"/>
      <c r="AI224" s="22"/>
      <c r="AJ224" s="22"/>
      <c r="AK224" s="22"/>
      <c r="AL224" s="22"/>
      <c r="AM224" s="22"/>
      <c r="AN224" s="22"/>
      <c r="AO224" s="22"/>
      <c r="AP224" s="22"/>
      <c r="AQ224" s="22"/>
    </row>
    <row r="225" spans="1:43"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2"/>
      <c r="Y225" s="22"/>
      <c r="Z225" s="22"/>
      <c r="AA225" s="22"/>
      <c r="AB225" s="22"/>
      <c r="AC225" s="22"/>
      <c r="AD225" s="22"/>
      <c r="AE225" s="22"/>
      <c r="AF225" s="22"/>
      <c r="AG225" s="22"/>
      <c r="AH225" s="22"/>
      <c r="AI225" s="22"/>
      <c r="AJ225" s="22"/>
      <c r="AK225" s="22"/>
      <c r="AL225" s="22"/>
      <c r="AM225" s="22"/>
      <c r="AN225" s="22"/>
      <c r="AO225" s="22"/>
      <c r="AP225" s="22"/>
      <c r="AQ225" s="22"/>
    </row>
    <row r="226" spans="1:43"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2"/>
      <c r="Y226" s="22"/>
      <c r="Z226" s="22"/>
      <c r="AA226" s="22"/>
      <c r="AB226" s="22"/>
      <c r="AC226" s="22"/>
      <c r="AD226" s="22"/>
      <c r="AE226" s="22"/>
      <c r="AF226" s="22"/>
      <c r="AG226" s="22"/>
      <c r="AH226" s="22"/>
      <c r="AI226" s="22"/>
      <c r="AJ226" s="22"/>
      <c r="AK226" s="22"/>
      <c r="AL226" s="22"/>
      <c r="AM226" s="22"/>
      <c r="AN226" s="22"/>
      <c r="AO226" s="22"/>
      <c r="AP226" s="22"/>
      <c r="AQ226" s="22"/>
    </row>
    <row r="227" spans="1:43"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2"/>
      <c r="Y227" s="22"/>
      <c r="Z227" s="22"/>
      <c r="AA227" s="22"/>
      <c r="AB227" s="22"/>
      <c r="AC227" s="22"/>
      <c r="AD227" s="22"/>
      <c r="AE227" s="22"/>
      <c r="AF227" s="22"/>
      <c r="AG227" s="22"/>
      <c r="AH227" s="22"/>
      <c r="AI227" s="22"/>
      <c r="AJ227" s="22"/>
      <c r="AK227" s="22"/>
      <c r="AL227" s="22"/>
      <c r="AM227" s="22"/>
      <c r="AN227" s="22"/>
      <c r="AO227" s="22"/>
      <c r="AP227" s="22"/>
      <c r="AQ227" s="22"/>
    </row>
    <row r="228" spans="1:43"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2"/>
      <c r="Y228" s="22"/>
      <c r="Z228" s="22"/>
      <c r="AA228" s="22"/>
      <c r="AB228" s="22"/>
      <c r="AC228" s="22"/>
      <c r="AD228" s="22"/>
      <c r="AE228" s="22"/>
      <c r="AF228" s="22"/>
      <c r="AG228" s="22"/>
      <c r="AH228" s="22"/>
      <c r="AI228" s="22"/>
      <c r="AJ228" s="22"/>
      <c r="AK228" s="22"/>
      <c r="AL228" s="22"/>
      <c r="AM228" s="22"/>
      <c r="AN228" s="22"/>
      <c r="AO228" s="22"/>
      <c r="AP228" s="22"/>
      <c r="AQ228" s="22"/>
    </row>
    <row r="229" spans="1:43"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2"/>
      <c r="Y229" s="22"/>
      <c r="Z229" s="22"/>
      <c r="AA229" s="22"/>
      <c r="AB229" s="22"/>
      <c r="AC229" s="22"/>
      <c r="AD229" s="22"/>
      <c r="AE229" s="22"/>
      <c r="AF229" s="22"/>
      <c r="AG229" s="22"/>
      <c r="AH229" s="22"/>
      <c r="AI229" s="22"/>
      <c r="AJ229" s="22"/>
      <c r="AK229" s="22"/>
      <c r="AL229" s="22"/>
      <c r="AM229" s="22"/>
      <c r="AN229" s="22"/>
      <c r="AO229" s="22"/>
      <c r="AP229" s="22"/>
      <c r="AQ229" s="22"/>
    </row>
    <row r="230" spans="1:43"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2"/>
      <c r="Y230" s="22"/>
      <c r="Z230" s="22"/>
      <c r="AA230" s="22"/>
      <c r="AB230" s="22"/>
      <c r="AC230" s="22"/>
      <c r="AD230" s="22"/>
      <c r="AE230" s="22"/>
      <c r="AF230" s="22"/>
      <c r="AG230" s="22"/>
      <c r="AH230" s="22"/>
      <c r="AI230" s="22"/>
      <c r="AJ230" s="22"/>
      <c r="AK230" s="22"/>
      <c r="AL230" s="22"/>
      <c r="AM230" s="22"/>
      <c r="AN230" s="22"/>
      <c r="AO230" s="22"/>
      <c r="AP230" s="22"/>
      <c r="AQ230" s="22"/>
    </row>
    <row r="231" spans="1:43"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2"/>
      <c r="Y231" s="22"/>
      <c r="Z231" s="22"/>
      <c r="AA231" s="22"/>
      <c r="AB231" s="22"/>
      <c r="AC231" s="22"/>
      <c r="AD231" s="22"/>
      <c r="AE231" s="22"/>
      <c r="AF231" s="22"/>
      <c r="AG231" s="22"/>
      <c r="AH231" s="22"/>
      <c r="AI231" s="22"/>
      <c r="AJ231" s="22"/>
      <c r="AK231" s="22"/>
      <c r="AL231" s="22"/>
      <c r="AM231" s="22"/>
      <c r="AN231" s="22"/>
      <c r="AO231" s="22"/>
      <c r="AP231" s="22"/>
      <c r="AQ231" s="22"/>
    </row>
    <row r="232" spans="1:43"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2"/>
      <c r="Y232" s="22"/>
      <c r="Z232" s="22"/>
      <c r="AA232" s="22"/>
      <c r="AB232" s="22"/>
      <c r="AC232" s="22"/>
      <c r="AD232" s="22"/>
      <c r="AE232" s="22"/>
      <c r="AF232" s="22"/>
      <c r="AG232" s="22"/>
      <c r="AH232" s="22"/>
      <c r="AI232" s="22"/>
      <c r="AJ232" s="22"/>
      <c r="AK232" s="22"/>
      <c r="AL232" s="22"/>
      <c r="AM232" s="22"/>
      <c r="AN232" s="22"/>
      <c r="AO232" s="22"/>
      <c r="AP232" s="22"/>
      <c r="AQ232" s="22"/>
    </row>
    <row r="233" spans="1:43"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2"/>
      <c r="Y233" s="22"/>
      <c r="Z233" s="22"/>
      <c r="AA233" s="22"/>
      <c r="AB233" s="22"/>
      <c r="AC233" s="22"/>
      <c r="AD233" s="22"/>
      <c r="AE233" s="22"/>
      <c r="AF233" s="22"/>
      <c r="AG233" s="22"/>
      <c r="AH233" s="22"/>
      <c r="AI233" s="22"/>
      <c r="AJ233" s="22"/>
      <c r="AK233" s="22"/>
      <c r="AL233" s="22"/>
      <c r="AM233" s="22"/>
      <c r="AN233" s="22"/>
      <c r="AO233" s="22"/>
      <c r="AP233" s="22"/>
      <c r="AQ233" s="22"/>
    </row>
    <row r="234" spans="1:43"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2"/>
      <c r="Y234" s="22"/>
      <c r="Z234" s="22"/>
      <c r="AA234" s="22"/>
      <c r="AB234" s="22"/>
      <c r="AC234" s="22"/>
      <c r="AD234" s="22"/>
      <c r="AE234" s="22"/>
      <c r="AF234" s="22"/>
      <c r="AG234" s="22"/>
      <c r="AH234" s="22"/>
      <c r="AI234" s="22"/>
      <c r="AJ234" s="22"/>
      <c r="AK234" s="22"/>
      <c r="AL234" s="22"/>
      <c r="AM234" s="22"/>
      <c r="AN234" s="22"/>
      <c r="AO234" s="22"/>
      <c r="AP234" s="22"/>
      <c r="AQ234" s="22"/>
    </row>
    <row r="235" spans="1:43"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2"/>
      <c r="Y235" s="22"/>
      <c r="Z235" s="22"/>
      <c r="AA235" s="22"/>
      <c r="AB235" s="22"/>
      <c r="AC235" s="22"/>
      <c r="AD235" s="22"/>
      <c r="AE235" s="22"/>
      <c r="AF235" s="22"/>
      <c r="AG235" s="22"/>
      <c r="AH235" s="22"/>
      <c r="AI235" s="22"/>
      <c r="AJ235" s="22"/>
      <c r="AK235" s="22"/>
      <c r="AL235" s="22"/>
      <c r="AM235" s="22"/>
      <c r="AN235" s="22"/>
      <c r="AO235" s="22"/>
      <c r="AP235" s="22"/>
      <c r="AQ235" s="22"/>
    </row>
    <row r="236" spans="1:43"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2"/>
      <c r="Y236" s="22"/>
      <c r="Z236" s="22"/>
      <c r="AA236" s="22"/>
      <c r="AB236" s="22"/>
      <c r="AC236" s="22"/>
      <c r="AD236" s="22"/>
      <c r="AE236" s="22"/>
      <c r="AF236" s="22"/>
      <c r="AG236" s="22"/>
      <c r="AH236" s="22"/>
      <c r="AI236" s="22"/>
      <c r="AJ236" s="22"/>
      <c r="AK236" s="22"/>
      <c r="AL236" s="22"/>
      <c r="AM236" s="22"/>
      <c r="AN236" s="22"/>
      <c r="AO236" s="22"/>
      <c r="AP236" s="22"/>
      <c r="AQ236" s="22"/>
    </row>
    <row r="237" spans="1:43"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2"/>
      <c r="Y237" s="22"/>
      <c r="Z237" s="22"/>
      <c r="AA237" s="22"/>
      <c r="AB237" s="22"/>
      <c r="AC237" s="22"/>
      <c r="AD237" s="22"/>
      <c r="AE237" s="22"/>
      <c r="AF237" s="22"/>
      <c r="AG237" s="22"/>
      <c r="AH237" s="22"/>
      <c r="AI237" s="22"/>
      <c r="AJ237" s="22"/>
      <c r="AK237" s="22"/>
      <c r="AL237" s="22"/>
      <c r="AM237" s="22"/>
      <c r="AN237" s="22"/>
      <c r="AO237" s="22"/>
      <c r="AP237" s="22"/>
      <c r="AQ237" s="22"/>
    </row>
    <row r="238" spans="1:43"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2"/>
      <c r="Y238" s="22"/>
      <c r="Z238" s="22"/>
      <c r="AA238" s="22"/>
      <c r="AB238" s="22"/>
      <c r="AC238" s="22"/>
      <c r="AD238" s="22"/>
      <c r="AE238" s="22"/>
      <c r="AF238" s="22"/>
      <c r="AG238" s="22"/>
      <c r="AH238" s="22"/>
      <c r="AI238" s="22"/>
      <c r="AJ238" s="22"/>
      <c r="AK238" s="22"/>
      <c r="AL238" s="22"/>
      <c r="AM238" s="22"/>
      <c r="AN238" s="22"/>
      <c r="AO238" s="22"/>
      <c r="AP238" s="22"/>
      <c r="AQ238" s="22"/>
    </row>
    <row r="239" spans="1:43"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2"/>
      <c r="Y239" s="22"/>
      <c r="Z239" s="22"/>
      <c r="AA239" s="22"/>
      <c r="AB239" s="22"/>
      <c r="AC239" s="22"/>
      <c r="AD239" s="22"/>
      <c r="AE239" s="22"/>
      <c r="AF239" s="22"/>
      <c r="AG239" s="22"/>
      <c r="AH239" s="22"/>
      <c r="AI239" s="22"/>
      <c r="AJ239" s="22"/>
      <c r="AK239" s="22"/>
      <c r="AL239" s="22"/>
      <c r="AM239" s="22"/>
      <c r="AN239" s="22"/>
      <c r="AO239" s="22"/>
      <c r="AP239" s="22"/>
      <c r="AQ239" s="22"/>
    </row>
    <row r="240" spans="1:43"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2"/>
      <c r="Y240" s="22"/>
      <c r="Z240" s="22"/>
      <c r="AA240" s="22"/>
      <c r="AB240" s="22"/>
      <c r="AC240" s="22"/>
      <c r="AD240" s="22"/>
      <c r="AE240" s="22"/>
      <c r="AF240" s="22"/>
      <c r="AG240" s="22"/>
      <c r="AH240" s="22"/>
      <c r="AI240" s="22"/>
      <c r="AJ240" s="22"/>
      <c r="AK240" s="22"/>
      <c r="AL240" s="22"/>
      <c r="AM240" s="22"/>
      <c r="AN240" s="22"/>
      <c r="AO240" s="22"/>
      <c r="AP240" s="22"/>
      <c r="AQ240" s="22"/>
    </row>
    <row r="241" spans="1:43"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2"/>
      <c r="Y241" s="22"/>
      <c r="Z241" s="22"/>
      <c r="AA241" s="22"/>
      <c r="AB241" s="22"/>
      <c r="AC241" s="22"/>
      <c r="AD241" s="22"/>
      <c r="AE241" s="22"/>
      <c r="AF241" s="22"/>
      <c r="AG241" s="22"/>
      <c r="AH241" s="22"/>
      <c r="AI241" s="22"/>
      <c r="AJ241" s="22"/>
      <c r="AK241" s="22"/>
      <c r="AL241" s="22"/>
      <c r="AM241" s="22"/>
      <c r="AN241" s="22"/>
      <c r="AO241" s="22"/>
      <c r="AP241" s="22"/>
      <c r="AQ241" s="22"/>
    </row>
    <row r="242" spans="1:43"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2"/>
      <c r="Y242" s="22"/>
      <c r="Z242" s="22"/>
      <c r="AA242" s="22"/>
      <c r="AB242" s="22"/>
      <c r="AC242" s="22"/>
      <c r="AD242" s="22"/>
      <c r="AE242" s="22"/>
      <c r="AF242" s="22"/>
      <c r="AG242" s="22"/>
      <c r="AH242" s="22"/>
      <c r="AI242" s="22"/>
      <c r="AJ242" s="22"/>
      <c r="AK242" s="22"/>
      <c r="AL242" s="22"/>
      <c r="AM242" s="22"/>
      <c r="AN242" s="22"/>
      <c r="AO242" s="22"/>
      <c r="AP242" s="22"/>
      <c r="AQ242" s="22"/>
    </row>
    <row r="243" spans="1:43"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2"/>
      <c r="Y243" s="22"/>
      <c r="Z243" s="22"/>
      <c r="AA243" s="22"/>
      <c r="AB243" s="22"/>
      <c r="AC243" s="22"/>
      <c r="AD243" s="22"/>
      <c r="AE243" s="22"/>
      <c r="AF243" s="22"/>
      <c r="AG243" s="22"/>
      <c r="AH243" s="22"/>
      <c r="AI243" s="22"/>
      <c r="AJ243" s="22"/>
      <c r="AK243" s="22"/>
      <c r="AL243" s="22"/>
      <c r="AM243" s="22"/>
      <c r="AN243" s="22"/>
      <c r="AO243" s="22"/>
      <c r="AP243" s="22"/>
      <c r="AQ243" s="22"/>
    </row>
    <row r="244" spans="1:43"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2"/>
      <c r="Y244" s="22"/>
      <c r="Z244" s="22"/>
      <c r="AA244" s="22"/>
      <c r="AB244" s="22"/>
      <c r="AC244" s="22"/>
      <c r="AD244" s="22"/>
      <c r="AE244" s="22"/>
      <c r="AF244" s="22"/>
      <c r="AG244" s="22"/>
      <c r="AH244" s="22"/>
      <c r="AI244" s="22"/>
      <c r="AJ244" s="22"/>
      <c r="AK244" s="22"/>
      <c r="AL244" s="22"/>
      <c r="AM244" s="22"/>
      <c r="AN244" s="22"/>
      <c r="AO244" s="22"/>
      <c r="AP244" s="22"/>
      <c r="AQ244" s="22"/>
    </row>
    <row r="245" spans="1:43"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2"/>
      <c r="Y245" s="22"/>
      <c r="Z245" s="22"/>
      <c r="AA245" s="22"/>
      <c r="AB245" s="22"/>
      <c r="AC245" s="22"/>
      <c r="AD245" s="22"/>
      <c r="AE245" s="22"/>
      <c r="AF245" s="22"/>
      <c r="AG245" s="22"/>
      <c r="AH245" s="22"/>
      <c r="AI245" s="22"/>
      <c r="AJ245" s="22"/>
      <c r="AK245" s="22"/>
      <c r="AL245" s="22"/>
      <c r="AM245" s="22"/>
      <c r="AN245" s="22"/>
      <c r="AO245" s="22"/>
      <c r="AP245" s="22"/>
      <c r="AQ245" s="22"/>
    </row>
    <row r="246" spans="1:43"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2"/>
      <c r="Y246" s="22"/>
      <c r="Z246" s="22"/>
      <c r="AA246" s="22"/>
      <c r="AB246" s="22"/>
      <c r="AC246" s="22"/>
      <c r="AD246" s="22"/>
      <c r="AE246" s="22"/>
      <c r="AF246" s="22"/>
      <c r="AG246" s="22"/>
      <c r="AH246" s="22"/>
      <c r="AI246" s="22"/>
      <c r="AJ246" s="22"/>
      <c r="AK246" s="22"/>
      <c r="AL246" s="22"/>
      <c r="AM246" s="22"/>
      <c r="AN246" s="22"/>
      <c r="AO246" s="22"/>
      <c r="AP246" s="22"/>
      <c r="AQ246" s="22"/>
    </row>
    <row r="247" spans="1:43"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2"/>
      <c r="Y247" s="22"/>
      <c r="Z247" s="22"/>
      <c r="AA247" s="22"/>
      <c r="AB247" s="22"/>
      <c r="AC247" s="22"/>
      <c r="AD247" s="22"/>
      <c r="AE247" s="22"/>
      <c r="AF247" s="22"/>
      <c r="AG247" s="22"/>
      <c r="AH247" s="22"/>
      <c r="AI247" s="22"/>
      <c r="AJ247" s="22"/>
      <c r="AK247" s="22"/>
      <c r="AL247" s="22"/>
      <c r="AM247" s="22"/>
      <c r="AN247" s="22"/>
      <c r="AO247" s="22"/>
      <c r="AP247" s="22"/>
      <c r="AQ247" s="22"/>
    </row>
    <row r="248" spans="1:43"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2"/>
      <c r="Y248" s="22"/>
      <c r="Z248" s="22"/>
      <c r="AA248" s="22"/>
      <c r="AB248" s="22"/>
      <c r="AC248" s="22"/>
      <c r="AD248" s="22"/>
      <c r="AE248" s="22"/>
      <c r="AF248" s="22"/>
      <c r="AG248" s="22"/>
      <c r="AH248" s="22"/>
      <c r="AI248" s="22"/>
      <c r="AJ248" s="22"/>
      <c r="AK248" s="22"/>
      <c r="AL248" s="22"/>
      <c r="AM248" s="22"/>
      <c r="AN248" s="22"/>
      <c r="AO248" s="22"/>
      <c r="AP248" s="22"/>
      <c r="AQ248" s="22"/>
    </row>
    <row r="249" spans="1:43"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2"/>
      <c r="Y249" s="22"/>
      <c r="Z249" s="22"/>
      <c r="AA249" s="22"/>
      <c r="AB249" s="22"/>
      <c r="AC249" s="22"/>
      <c r="AD249" s="22"/>
      <c r="AE249" s="22"/>
      <c r="AF249" s="22"/>
      <c r="AG249" s="22"/>
      <c r="AH249" s="22"/>
      <c r="AI249" s="22"/>
      <c r="AJ249" s="22"/>
      <c r="AK249" s="22"/>
      <c r="AL249" s="22"/>
      <c r="AM249" s="22"/>
      <c r="AN249" s="22"/>
      <c r="AO249" s="22"/>
      <c r="AP249" s="22"/>
      <c r="AQ249" s="22"/>
    </row>
    <row r="250" spans="1:43"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2"/>
      <c r="Y250" s="22"/>
      <c r="Z250" s="22"/>
      <c r="AA250" s="22"/>
      <c r="AB250" s="22"/>
      <c r="AC250" s="22"/>
      <c r="AD250" s="22"/>
      <c r="AE250" s="22"/>
      <c r="AF250" s="22"/>
      <c r="AG250" s="22"/>
      <c r="AH250" s="22"/>
      <c r="AI250" s="22"/>
      <c r="AJ250" s="22"/>
      <c r="AK250" s="22"/>
      <c r="AL250" s="22"/>
      <c r="AM250" s="22"/>
      <c r="AN250" s="22"/>
      <c r="AO250" s="22"/>
      <c r="AP250" s="22"/>
      <c r="AQ250" s="22"/>
    </row>
    <row r="251" spans="1:43"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2"/>
      <c r="Y251" s="22"/>
      <c r="Z251" s="22"/>
      <c r="AA251" s="22"/>
      <c r="AB251" s="22"/>
      <c r="AC251" s="22"/>
      <c r="AD251" s="22"/>
      <c r="AE251" s="22"/>
      <c r="AF251" s="22"/>
      <c r="AG251" s="22"/>
      <c r="AH251" s="22"/>
      <c r="AI251" s="22"/>
      <c r="AJ251" s="22"/>
      <c r="AK251" s="22"/>
      <c r="AL251" s="22"/>
      <c r="AM251" s="22"/>
      <c r="AN251" s="22"/>
      <c r="AO251" s="22"/>
      <c r="AP251" s="22"/>
      <c r="AQ251" s="22"/>
    </row>
    <row r="252" spans="1:43"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2"/>
      <c r="Y252" s="22"/>
      <c r="Z252" s="22"/>
      <c r="AA252" s="22"/>
      <c r="AB252" s="22"/>
      <c r="AC252" s="22"/>
      <c r="AD252" s="22"/>
      <c r="AE252" s="22"/>
      <c r="AF252" s="22"/>
      <c r="AG252" s="22"/>
      <c r="AH252" s="22"/>
      <c r="AI252" s="22"/>
      <c r="AJ252" s="22"/>
      <c r="AK252" s="22"/>
      <c r="AL252" s="22"/>
      <c r="AM252" s="22"/>
      <c r="AN252" s="22"/>
      <c r="AO252" s="22"/>
      <c r="AP252" s="22"/>
      <c r="AQ252" s="22"/>
    </row>
    <row r="253" spans="1:43"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2"/>
      <c r="Y253" s="22"/>
      <c r="Z253" s="22"/>
      <c r="AA253" s="22"/>
      <c r="AB253" s="22"/>
      <c r="AC253" s="22"/>
      <c r="AD253" s="22"/>
      <c r="AE253" s="22"/>
      <c r="AF253" s="22"/>
      <c r="AG253" s="22"/>
      <c r="AH253" s="22"/>
      <c r="AI253" s="22"/>
      <c r="AJ253" s="22"/>
      <c r="AK253" s="22"/>
      <c r="AL253" s="22"/>
      <c r="AM253" s="22"/>
      <c r="AN253" s="22"/>
      <c r="AO253" s="22"/>
      <c r="AP253" s="22"/>
      <c r="AQ253" s="22"/>
    </row>
    <row r="254" spans="1:43"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2"/>
      <c r="Y254" s="22"/>
      <c r="Z254" s="22"/>
      <c r="AA254" s="22"/>
      <c r="AB254" s="22"/>
      <c r="AC254" s="22"/>
      <c r="AD254" s="22"/>
      <c r="AE254" s="22"/>
      <c r="AF254" s="22"/>
      <c r="AG254" s="22"/>
      <c r="AH254" s="22"/>
      <c r="AI254" s="22"/>
      <c r="AJ254" s="22"/>
      <c r="AK254" s="22"/>
      <c r="AL254" s="22"/>
      <c r="AM254" s="22"/>
      <c r="AN254" s="22"/>
      <c r="AO254" s="22"/>
      <c r="AP254" s="22"/>
      <c r="AQ254" s="22"/>
    </row>
    <row r="255" spans="1:43"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2"/>
      <c r="Y255" s="22"/>
      <c r="Z255" s="22"/>
      <c r="AA255" s="22"/>
      <c r="AB255" s="22"/>
      <c r="AC255" s="22"/>
      <c r="AD255" s="22"/>
      <c r="AE255" s="22"/>
      <c r="AF255" s="22"/>
      <c r="AG255" s="22"/>
      <c r="AH255" s="22"/>
      <c r="AI255" s="22"/>
      <c r="AJ255" s="22"/>
      <c r="AK255" s="22"/>
      <c r="AL255" s="22"/>
      <c r="AM255" s="22"/>
      <c r="AN255" s="22"/>
      <c r="AO255" s="22"/>
      <c r="AP255" s="22"/>
      <c r="AQ255" s="22"/>
    </row>
    <row r="256" spans="1:43"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2"/>
      <c r="Y256" s="22"/>
      <c r="Z256" s="22"/>
      <c r="AA256" s="22"/>
      <c r="AB256" s="22"/>
      <c r="AC256" s="22"/>
      <c r="AD256" s="22"/>
      <c r="AE256" s="22"/>
      <c r="AF256" s="22"/>
      <c r="AG256" s="22"/>
      <c r="AH256" s="22"/>
      <c r="AI256" s="22"/>
      <c r="AJ256" s="22"/>
      <c r="AK256" s="22"/>
      <c r="AL256" s="22"/>
      <c r="AM256" s="22"/>
      <c r="AN256" s="22"/>
      <c r="AO256" s="22"/>
      <c r="AP256" s="22"/>
      <c r="AQ256" s="22"/>
    </row>
    <row r="257" spans="1:43"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2"/>
      <c r="Y257" s="22"/>
      <c r="Z257" s="22"/>
      <c r="AA257" s="22"/>
      <c r="AB257" s="22"/>
      <c r="AC257" s="22"/>
      <c r="AD257" s="22"/>
      <c r="AE257" s="22"/>
      <c r="AF257" s="22"/>
      <c r="AG257" s="22"/>
      <c r="AH257" s="22"/>
      <c r="AI257" s="22"/>
      <c r="AJ257" s="22"/>
      <c r="AK257" s="22"/>
      <c r="AL257" s="22"/>
      <c r="AM257" s="22"/>
      <c r="AN257" s="22"/>
      <c r="AO257" s="22"/>
      <c r="AP257" s="22"/>
      <c r="AQ257" s="22"/>
    </row>
    <row r="258" spans="1:43"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2"/>
      <c r="Y258" s="22"/>
      <c r="Z258" s="22"/>
      <c r="AA258" s="22"/>
      <c r="AB258" s="22"/>
      <c r="AC258" s="22"/>
      <c r="AD258" s="22"/>
      <c r="AE258" s="22"/>
      <c r="AF258" s="22"/>
      <c r="AG258" s="22"/>
      <c r="AH258" s="22"/>
      <c r="AI258" s="22"/>
      <c r="AJ258" s="22"/>
      <c r="AK258" s="22"/>
      <c r="AL258" s="22"/>
      <c r="AM258" s="22"/>
      <c r="AN258" s="22"/>
      <c r="AO258" s="22"/>
      <c r="AP258" s="22"/>
      <c r="AQ258" s="22"/>
    </row>
    <row r="259" spans="1:43"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2"/>
      <c r="Y259" s="22"/>
      <c r="Z259" s="22"/>
      <c r="AA259" s="22"/>
      <c r="AB259" s="22"/>
      <c r="AC259" s="22"/>
      <c r="AD259" s="22"/>
      <c r="AE259" s="22"/>
      <c r="AF259" s="22"/>
      <c r="AG259" s="22"/>
      <c r="AH259" s="22"/>
      <c r="AI259" s="22"/>
      <c r="AJ259" s="22"/>
      <c r="AK259" s="22"/>
      <c r="AL259" s="22"/>
      <c r="AM259" s="22"/>
      <c r="AN259" s="22"/>
      <c r="AO259" s="22"/>
      <c r="AP259" s="22"/>
      <c r="AQ259" s="22"/>
    </row>
    <row r="260" spans="1:43"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2"/>
      <c r="Y260" s="22"/>
      <c r="Z260" s="22"/>
      <c r="AA260" s="22"/>
      <c r="AB260" s="22"/>
      <c r="AC260" s="22"/>
      <c r="AD260" s="22"/>
      <c r="AE260" s="22"/>
      <c r="AF260" s="22"/>
      <c r="AG260" s="22"/>
      <c r="AH260" s="22"/>
      <c r="AI260" s="22"/>
      <c r="AJ260" s="22"/>
      <c r="AK260" s="22"/>
      <c r="AL260" s="22"/>
      <c r="AM260" s="22"/>
      <c r="AN260" s="22"/>
      <c r="AO260" s="22"/>
      <c r="AP260" s="22"/>
      <c r="AQ260" s="22"/>
    </row>
    <row r="261" spans="1:43"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2"/>
      <c r="Y261" s="22"/>
      <c r="Z261" s="22"/>
      <c r="AA261" s="22"/>
      <c r="AB261" s="22"/>
      <c r="AC261" s="22"/>
      <c r="AD261" s="22"/>
      <c r="AE261" s="22"/>
      <c r="AF261" s="22"/>
      <c r="AG261" s="22"/>
      <c r="AH261" s="22"/>
      <c r="AI261" s="22"/>
      <c r="AJ261" s="22"/>
      <c r="AK261" s="22"/>
      <c r="AL261" s="22"/>
      <c r="AM261" s="22"/>
      <c r="AN261" s="22"/>
      <c r="AO261" s="22"/>
      <c r="AP261" s="22"/>
      <c r="AQ261" s="22"/>
    </row>
    <row r="262" spans="1:43"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2"/>
      <c r="Y262" s="22"/>
      <c r="Z262" s="22"/>
      <c r="AA262" s="22"/>
      <c r="AB262" s="22"/>
      <c r="AC262" s="22"/>
      <c r="AD262" s="22"/>
      <c r="AE262" s="22"/>
      <c r="AF262" s="22"/>
      <c r="AG262" s="22"/>
      <c r="AH262" s="22"/>
      <c r="AI262" s="22"/>
      <c r="AJ262" s="22"/>
      <c r="AK262" s="22"/>
      <c r="AL262" s="22"/>
      <c r="AM262" s="22"/>
      <c r="AN262" s="22"/>
      <c r="AO262" s="22"/>
      <c r="AP262" s="22"/>
      <c r="AQ262" s="22"/>
    </row>
    <row r="263" spans="1:43"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2"/>
      <c r="Y263" s="22"/>
      <c r="Z263" s="22"/>
      <c r="AA263" s="22"/>
      <c r="AB263" s="22"/>
      <c r="AC263" s="22"/>
      <c r="AD263" s="22"/>
      <c r="AE263" s="22"/>
      <c r="AF263" s="22"/>
      <c r="AG263" s="22"/>
      <c r="AH263" s="22"/>
      <c r="AI263" s="22"/>
      <c r="AJ263" s="22"/>
      <c r="AK263" s="22"/>
      <c r="AL263" s="22"/>
      <c r="AM263" s="22"/>
      <c r="AN263" s="22"/>
      <c r="AO263" s="22"/>
      <c r="AP263" s="22"/>
      <c r="AQ263" s="22"/>
    </row>
    <row r="264" spans="1:43"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2"/>
      <c r="Y264" s="22"/>
      <c r="Z264" s="22"/>
      <c r="AA264" s="22"/>
      <c r="AB264" s="22"/>
      <c r="AC264" s="22"/>
      <c r="AD264" s="22"/>
      <c r="AE264" s="22"/>
      <c r="AF264" s="22"/>
      <c r="AG264" s="22"/>
      <c r="AH264" s="22"/>
      <c r="AI264" s="22"/>
      <c r="AJ264" s="22"/>
      <c r="AK264" s="22"/>
      <c r="AL264" s="22"/>
      <c r="AM264" s="22"/>
      <c r="AN264" s="22"/>
      <c r="AO264" s="22"/>
      <c r="AP264" s="22"/>
      <c r="AQ264" s="22"/>
    </row>
    <row r="265" spans="1:43"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2"/>
      <c r="Y265" s="22"/>
      <c r="Z265" s="22"/>
      <c r="AA265" s="22"/>
      <c r="AB265" s="22"/>
      <c r="AC265" s="22"/>
      <c r="AD265" s="22"/>
      <c r="AE265" s="22"/>
      <c r="AF265" s="22"/>
      <c r="AG265" s="22"/>
      <c r="AH265" s="22"/>
      <c r="AI265" s="22"/>
      <c r="AJ265" s="22"/>
      <c r="AK265" s="22"/>
      <c r="AL265" s="22"/>
      <c r="AM265" s="22"/>
      <c r="AN265" s="22"/>
      <c r="AO265" s="22"/>
      <c r="AP265" s="22"/>
      <c r="AQ265" s="22"/>
    </row>
    <row r="266" spans="1:43"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2"/>
      <c r="Y266" s="22"/>
      <c r="Z266" s="22"/>
      <c r="AA266" s="22"/>
      <c r="AB266" s="22"/>
      <c r="AC266" s="22"/>
      <c r="AD266" s="22"/>
      <c r="AE266" s="22"/>
      <c r="AF266" s="22"/>
      <c r="AG266" s="22"/>
      <c r="AH266" s="22"/>
      <c r="AI266" s="22"/>
      <c r="AJ266" s="22"/>
      <c r="AK266" s="22"/>
      <c r="AL266" s="22"/>
      <c r="AM266" s="22"/>
      <c r="AN266" s="22"/>
      <c r="AO266" s="22"/>
      <c r="AP266" s="22"/>
      <c r="AQ266" s="22"/>
    </row>
    <row r="267" spans="1:43"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2"/>
      <c r="Y267" s="22"/>
      <c r="Z267" s="22"/>
      <c r="AA267" s="22"/>
      <c r="AB267" s="22"/>
      <c r="AC267" s="22"/>
      <c r="AD267" s="22"/>
      <c r="AE267" s="22"/>
      <c r="AF267" s="22"/>
      <c r="AG267" s="22"/>
      <c r="AH267" s="22"/>
      <c r="AI267" s="22"/>
      <c r="AJ267" s="22"/>
      <c r="AK267" s="22"/>
      <c r="AL267" s="22"/>
      <c r="AM267" s="22"/>
      <c r="AN267" s="22"/>
      <c r="AO267" s="22"/>
      <c r="AP267" s="22"/>
      <c r="AQ267" s="22"/>
    </row>
    <row r="268" spans="1:43"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2"/>
      <c r="Y268" s="22"/>
      <c r="Z268" s="22"/>
      <c r="AA268" s="22"/>
      <c r="AB268" s="22"/>
      <c r="AC268" s="22"/>
      <c r="AD268" s="22"/>
      <c r="AE268" s="22"/>
      <c r="AF268" s="22"/>
      <c r="AG268" s="22"/>
      <c r="AH268" s="22"/>
      <c r="AI268" s="22"/>
      <c r="AJ268" s="22"/>
      <c r="AK268" s="22"/>
      <c r="AL268" s="22"/>
      <c r="AM268" s="22"/>
      <c r="AN268" s="22"/>
      <c r="AO268" s="22"/>
      <c r="AP268" s="22"/>
      <c r="AQ268" s="22"/>
    </row>
    <row r="269" spans="1:43"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2"/>
      <c r="Y269" s="22"/>
      <c r="Z269" s="22"/>
      <c r="AA269" s="22"/>
      <c r="AB269" s="22"/>
      <c r="AC269" s="22"/>
      <c r="AD269" s="22"/>
      <c r="AE269" s="22"/>
      <c r="AF269" s="22"/>
      <c r="AG269" s="22"/>
      <c r="AH269" s="22"/>
      <c r="AI269" s="22"/>
      <c r="AJ269" s="22"/>
      <c r="AK269" s="22"/>
      <c r="AL269" s="22"/>
      <c r="AM269" s="22"/>
      <c r="AN269" s="22"/>
      <c r="AO269" s="22"/>
      <c r="AP269" s="22"/>
      <c r="AQ269" s="22"/>
    </row>
    <row r="270" spans="1:43"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2"/>
      <c r="Y270" s="22"/>
      <c r="Z270" s="22"/>
      <c r="AA270" s="22"/>
      <c r="AB270" s="22"/>
      <c r="AC270" s="22"/>
      <c r="AD270" s="22"/>
      <c r="AE270" s="22"/>
      <c r="AF270" s="22"/>
      <c r="AG270" s="22"/>
      <c r="AH270" s="22"/>
      <c r="AI270" s="22"/>
      <c r="AJ270" s="22"/>
      <c r="AK270" s="22"/>
      <c r="AL270" s="22"/>
      <c r="AM270" s="22"/>
      <c r="AN270" s="22"/>
      <c r="AO270" s="22"/>
      <c r="AP270" s="22"/>
      <c r="AQ270" s="22"/>
    </row>
    <row r="271" spans="1:43"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2"/>
      <c r="Y271" s="22"/>
      <c r="Z271" s="22"/>
      <c r="AA271" s="22"/>
      <c r="AB271" s="22"/>
      <c r="AC271" s="22"/>
      <c r="AD271" s="22"/>
      <c r="AE271" s="22"/>
      <c r="AF271" s="22"/>
      <c r="AG271" s="22"/>
      <c r="AH271" s="22"/>
      <c r="AI271" s="22"/>
      <c r="AJ271" s="22"/>
      <c r="AK271" s="22"/>
      <c r="AL271" s="22"/>
      <c r="AM271" s="22"/>
      <c r="AN271" s="22"/>
      <c r="AO271" s="22"/>
      <c r="AP271" s="22"/>
      <c r="AQ271" s="22"/>
    </row>
    <row r="272" spans="1:43"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2"/>
      <c r="Y272" s="22"/>
      <c r="Z272" s="22"/>
      <c r="AA272" s="22"/>
      <c r="AB272" s="22"/>
      <c r="AC272" s="22"/>
      <c r="AD272" s="22"/>
      <c r="AE272" s="22"/>
      <c r="AF272" s="22"/>
      <c r="AG272" s="22"/>
      <c r="AH272" s="22"/>
      <c r="AI272" s="22"/>
      <c r="AJ272" s="22"/>
      <c r="AK272" s="22"/>
      <c r="AL272" s="22"/>
      <c r="AM272" s="22"/>
      <c r="AN272" s="22"/>
      <c r="AO272" s="22"/>
      <c r="AP272" s="22"/>
      <c r="AQ272" s="22"/>
    </row>
    <row r="273" spans="1:43"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2"/>
      <c r="Y273" s="22"/>
      <c r="Z273" s="22"/>
      <c r="AA273" s="22"/>
      <c r="AB273" s="22"/>
      <c r="AC273" s="22"/>
      <c r="AD273" s="22"/>
      <c r="AE273" s="22"/>
      <c r="AF273" s="22"/>
      <c r="AG273" s="22"/>
      <c r="AH273" s="22"/>
      <c r="AI273" s="22"/>
      <c r="AJ273" s="22"/>
      <c r="AK273" s="22"/>
      <c r="AL273" s="22"/>
      <c r="AM273" s="22"/>
      <c r="AN273" s="22"/>
      <c r="AO273" s="22"/>
      <c r="AP273" s="22"/>
      <c r="AQ273" s="22"/>
    </row>
    <row r="274" spans="1:43"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2"/>
      <c r="Y274" s="22"/>
      <c r="Z274" s="22"/>
      <c r="AA274" s="22"/>
      <c r="AB274" s="22"/>
      <c r="AC274" s="22"/>
      <c r="AD274" s="22"/>
      <c r="AE274" s="22"/>
      <c r="AF274" s="22"/>
      <c r="AG274" s="22"/>
      <c r="AH274" s="22"/>
      <c r="AI274" s="22"/>
      <c r="AJ274" s="22"/>
      <c r="AK274" s="22"/>
      <c r="AL274" s="22"/>
      <c r="AM274" s="22"/>
      <c r="AN274" s="22"/>
      <c r="AO274" s="22"/>
      <c r="AP274" s="22"/>
      <c r="AQ274" s="22"/>
    </row>
    <row r="275" spans="1:43"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2"/>
      <c r="Y275" s="22"/>
      <c r="Z275" s="22"/>
      <c r="AA275" s="22"/>
      <c r="AB275" s="22"/>
      <c r="AC275" s="22"/>
      <c r="AD275" s="22"/>
      <c r="AE275" s="22"/>
      <c r="AF275" s="22"/>
      <c r="AG275" s="22"/>
      <c r="AH275" s="22"/>
      <c r="AI275" s="22"/>
      <c r="AJ275" s="22"/>
      <c r="AK275" s="22"/>
      <c r="AL275" s="22"/>
      <c r="AM275" s="22"/>
      <c r="AN275" s="22"/>
      <c r="AO275" s="22"/>
      <c r="AP275" s="22"/>
      <c r="AQ275" s="22"/>
    </row>
    <row r="276" spans="1:43"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2"/>
      <c r="Y276" s="22"/>
      <c r="Z276" s="22"/>
      <c r="AA276" s="22"/>
      <c r="AB276" s="22"/>
      <c r="AC276" s="22"/>
      <c r="AD276" s="22"/>
      <c r="AE276" s="22"/>
      <c r="AF276" s="22"/>
      <c r="AG276" s="22"/>
      <c r="AH276" s="22"/>
      <c r="AI276" s="22"/>
      <c r="AJ276" s="22"/>
      <c r="AK276" s="22"/>
      <c r="AL276" s="22"/>
      <c r="AM276" s="22"/>
      <c r="AN276" s="22"/>
      <c r="AO276" s="22"/>
      <c r="AP276" s="22"/>
      <c r="AQ276" s="22"/>
    </row>
    <row r="277" spans="1:43"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2"/>
      <c r="Y277" s="22"/>
      <c r="Z277" s="22"/>
      <c r="AA277" s="22"/>
      <c r="AB277" s="22"/>
      <c r="AC277" s="22"/>
      <c r="AD277" s="22"/>
      <c r="AE277" s="22"/>
      <c r="AF277" s="22"/>
      <c r="AG277" s="22"/>
      <c r="AH277" s="22"/>
      <c r="AI277" s="22"/>
      <c r="AJ277" s="22"/>
      <c r="AK277" s="22"/>
      <c r="AL277" s="22"/>
      <c r="AM277" s="22"/>
      <c r="AN277" s="22"/>
      <c r="AO277" s="22"/>
      <c r="AP277" s="22"/>
      <c r="AQ277" s="22"/>
    </row>
    <row r="278" spans="1:43"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2"/>
      <c r="Y278" s="22"/>
      <c r="Z278" s="22"/>
      <c r="AA278" s="22"/>
      <c r="AB278" s="22"/>
      <c r="AC278" s="22"/>
      <c r="AD278" s="22"/>
      <c r="AE278" s="22"/>
      <c r="AF278" s="22"/>
      <c r="AG278" s="22"/>
      <c r="AH278" s="22"/>
      <c r="AI278" s="22"/>
      <c r="AJ278" s="22"/>
      <c r="AK278" s="22"/>
      <c r="AL278" s="22"/>
      <c r="AM278" s="22"/>
      <c r="AN278" s="22"/>
      <c r="AO278" s="22"/>
      <c r="AP278" s="22"/>
      <c r="AQ278" s="22"/>
    </row>
    <row r="279" spans="1:43"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2"/>
      <c r="Y279" s="22"/>
      <c r="Z279" s="22"/>
      <c r="AA279" s="22"/>
      <c r="AB279" s="22"/>
      <c r="AC279" s="22"/>
      <c r="AD279" s="22"/>
      <c r="AE279" s="22"/>
      <c r="AF279" s="22"/>
      <c r="AG279" s="22"/>
      <c r="AH279" s="22"/>
      <c r="AI279" s="22"/>
      <c r="AJ279" s="22"/>
      <c r="AK279" s="22"/>
      <c r="AL279" s="22"/>
      <c r="AM279" s="22"/>
      <c r="AN279" s="22"/>
      <c r="AO279" s="22"/>
      <c r="AP279" s="22"/>
      <c r="AQ279" s="22"/>
    </row>
    <row r="280" spans="1:43"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2"/>
      <c r="Y280" s="22"/>
      <c r="Z280" s="22"/>
      <c r="AA280" s="22"/>
      <c r="AB280" s="22"/>
      <c r="AC280" s="22"/>
      <c r="AD280" s="22"/>
      <c r="AE280" s="22"/>
      <c r="AF280" s="22"/>
      <c r="AG280" s="22"/>
      <c r="AH280" s="22"/>
      <c r="AI280" s="22"/>
      <c r="AJ280" s="22"/>
      <c r="AK280" s="22"/>
      <c r="AL280" s="22"/>
      <c r="AM280" s="22"/>
      <c r="AN280" s="22"/>
      <c r="AO280" s="22"/>
      <c r="AP280" s="22"/>
      <c r="AQ280" s="22"/>
    </row>
    <row r="281" spans="1:43"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2"/>
      <c r="Y281" s="22"/>
      <c r="Z281" s="22"/>
      <c r="AA281" s="22"/>
      <c r="AB281" s="22"/>
      <c r="AC281" s="22"/>
      <c r="AD281" s="22"/>
      <c r="AE281" s="22"/>
      <c r="AF281" s="22"/>
      <c r="AG281" s="22"/>
      <c r="AH281" s="22"/>
      <c r="AI281" s="22"/>
      <c r="AJ281" s="22"/>
      <c r="AK281" s="22"/>
      <c r="AL281" s="22"/>
      <c r="AM281" s="22"/>
      <c r="AN281" s="22"/>
      <c r="AO281" s="22"/>
      <c r="AP281" s="22"/>
      <c r="AQ281" s="22"/>
    </row>
    <row r="282" spans="1:43"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2"/>
      <c r="Y282" s="22"/>
      <c r="Z282" s="22"/>
      <c r="AA282" s="22"/>
      <c r="AB282" s="22"/>
      <c r="AC282" s="22"/>
      <c r="AD282" s="22"/>
      <c r="AE282" s="22"/>
      <c r="AF282" s="22"/>
      <c r="AG282" s="22"/>
      <c r="AH282" s="22"/>
      <c r="AI282" s="22"/>
      <c r="AJ282" s="22"/>
      <c r="AK282" s="22"/>
      <c r="AL282" s="22"/>
      <c r="AM282" s="22"/>
      <c r="AN282" s="22"/>
      <c r="AO282" s="22"/>
      <c r="AP282" s="22"/>
      <c r="AQ282" s="22"/>
    </row>
    <row r="283" spans="1:43"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2"/>
      <c r="Y283" s="22"/>
      <c r="Z283" s="22"/>
      <c r="AA283" s="22"/>
      <c r="AB283" s="22"/>
      <c r="AC283" s="22"/>
      <c r="AD283" s="22"/>
      <c r="AE283" s="22"/>
      <c r="AF283" s="22"/>
      <c r="AG283" s="22"/>
      <c r="AH283" s="22"/>
      <c r="AI283" s="22"/>
      <c r="AJ283" s="22"/>
      <c r="AK283" s="22"/>
      <c r="AL283" s="22"/>
      <c r="AM283" s="22"/>
      <c r="AN283" s="22"/>
      <c r="AO283" s="22"/>
      <c r="AP283" s="22"/>
      <c r="AQ283" s="22"/>
    </row>
    <row r="284" spans="1:43"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2"/>
      <c r="Y284" s="22"/>
      <c r="Z284" s="22"/>
      <c r="AA284" s="22"/>
      <c r="AB284" s="22"/>
      <c r="AC284" s="22"/>
      <c r="AD284" s="22"/>
      <c r="AE284" s="22"/>
      <c r="AF284" s="22"/>
      <c r="AG284" s="22"/>
      <c r="AH284" s="22"/>
      <c r="AI284" s="22"/>
      <c r="AJ284" s="22"/>
      <c r="AK284" s="22"/>
      <c r="AL284" s="22"/>
      <c r="AM284" s="22"/>
      <c r="AN284" s="22"/>
      <c r="AO284" s="22"/>
      <c r="AP284" s="22"/>
      <c r="AQ284" s="22"/>
    </row>
    <row r="285" spans="1:43"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2"/>
      <c r="Y285" s="22"/>
      <c r="Z285" s="22"/>
      <c r="AA285" s="22"/>
      <c r="AB285" s="22"/>
      <c r="AC285" s="22"/>
      <c r="AD285" s="22"/>
      <c r="AE285" s="22"/>
      <c r="AF285" s="22"/>
      <c r="AG285" s="22"/>
      <c r="AH285" s="22"/>
      <c r="AI285" s="22"/>
      <c r="AJ285" s="22"/>
      <c r="AK285" s="22"/>
      <c r="AL285" s="22"/>
      <c r="AM285" s="22"/>
      <c r="AN285" s="22"/>
      <c r="AO285" s="22"/>
      <c r="AP285" s="22"/>
      <c r="AQ285" s="22"/>
    </row>
    <row r="286" spans="1:43"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2"/>
      <c r="Y286" s="22"/>
      <c r="Z286" s="22"/>
      <c r="AA286" s="22"/>
      <c r="AB286" s="22"/>
      <c r="AC286" s="22"/>
      <c r="AD286" s="22"/>
      <c r="AE286" s="22"/>
      <c r="AF286" s="22"/>
      <c r="AG286" s="22"/>
      <c r="AH286" s="22"/>
      <c r="AI286" s="22"/>
      <c r="AJ286" s="22"/>
      <c r="AK286" s="22"/>
      <c r="AL286" s="22"/>
      <c r="AM286" s="22"/>
      <c r="AN286" s="22"/>
      <c r="AO286" s="22"/>
      <c r="AP286" s="22"/>
      <c r="AQ286" s="22"/>
    </row>
    <row r="287" spans="1:43"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2"/>
      <c r="Y287" s="22"/>
      <c r="Z287" s="22"/>
      <c r="AA287" s="22"/>
      <c r="AB287" s="22"/>
      <c r="AC287" s="22"/>
      <c r="AD287" s="22"/>
      <c r="AE287" s="22"/>
      <c r="AF287" s="22"/>
      <c r="AG287" s="22"/>
      <c r="AH287" s="22"/>
      <c r="AI287" s="22"/>
      <c r="AJ287" s="22"/>
      <c r="AK287" s="22"/>
      <c r="AL287" s="22"/>
      <c r="AM287" s="22"/>
      <c r="AN287" s="22"/>
      <c r="AO287" s="22"/>
      <c r="AP287" s="22"/>
      <c r="AQ287" s="22"/>
    </row>
    <row r="288" spans="1:43"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2"/>
      <c r="Y288" s="22"/>
      <c r="Z288" s="22"/>
      <c r="AA288" s="22"/>
      <c r="AB288" s="22"/>
      <c r="AC288" s="22"/>
      <c r="AD288" s="22"/>
      <c r="AE288" s="22"/>
      <c r="AF288" s="22"/>
      <c r="AG288" s="22"/>
      <c r="AH288" s="22"/>
      <c r="AI288" s="22"/>
      <c r="AJ288" s="22"/>
      <c r="AK288" s="22"/>
      <c r="AL288" s="22"/>
      <c r="AM288" s="22"/>
      <c r="AN288" s="22"/>
      <c r="AO288" s="22"/>
      <c r="AP288" s="22"/>
      <c r="AQ288" s="22"/>
    </row>
    <row r="289" spans="1:43"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2"/>
      <c r="Y289" s="22"/>
      <c r="Z289" s="22"/>
      <c r="AA289" s="22"/>
      <c r="AB289" s="22"/>
      <c r="AC289" s="22"/>
      <c r="AD289" s="22"/>
      <c r="AE289" s="22"/>
      <c r="AF289" s="22"/>
      <c r="AG289" s="22"/>
      <c r="AH289" s="22"/>
      <c r="AI289" s="22"/>
      <c r="AJ289" s="22"/>
      <c r="AK289" s="22"/>
      <c r="AL289" s="22"/>
      <c r="AM289" s="22"/>
      <c r="AN289" s="22"/>
      <c r="AO289" s="22"/>
      <c r="AP289" s="22"/>
      <c r="AQ289" s="22"/>
    </row>
    <row r="290" spans="1:43"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2"/>
      <c r="Y290" s="22"/>
      <c r="Z290" s="22"/>
      <c r="AA290" s="22"/>
      <c r="AB290" s="22"/>
      <c r="AC290" s="22"/>
      <c r="AD290" s="22"/>
      <c r="AE290" s="22"/>
      <c r="AF290" s="22"/>
      <c r="AG290" s="22"/>
      <c r="AH290" s="22"/>
      <c r="AI290" s="22"/>
      <c r="AJ290" s="22"/>
      <c r="AK290" s="22"/>
      <c r="AL290" s="22"/>
      <c r="AM290" s="22"/>
      <c r="AN290" s="22"/>
      <c r="AO290" s="22"/>
      <c r="AP290" s="22"/>
      <c r="AQ290" s="22"/>
    </row>
    <row r="291" spans="1:43"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2"/>
      <c r="Y291" s="22"/>
      <c r="Z291" s="22"/>
      <c r="AA291" s="22"/>
      <c r="AB291" s="22"/>
      <c r="AC291" s="22"/>
      <c r="AD291" s="22"/>
      <c r="AE291" s="22"/>
      <c r="AF291" s="22"/>
      <c r="AG291" s="22"/>
      <c r="AH291" s="22"/>
      <c r="AI291" s="22"/>
      <c r="AJ291" s="22"/>
      <c r="AK291" s="22"/>
      <c r="AL291" s="22"/>
      <c r="AM291" s="22"/>
      <c r="AN291" s="22"/>
      <c r="AO291" s="22"/>
      <c r="AP291" s="22"/>
      <c r="AQ291" s="22"/>
    </row>
    <row r="292" spans="1:43"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2"/>
      <c r="Y292" s="22"/>
      <c r="Z292" s="22"/>
      <c r="AA292" s="22"/>
      <c r="AB292" s="22"/>
      <c r="AC292" s="22"/>
      <c r="AD292" s="22"/>
      <c r="AE292" s="22"/>
      <c r="AF292" s="22"/>
      <c r="AG292" s="22"/>
      <c r="AH292" s="22"/>
      <c r="AI292" s="22"/>
      <c r="AJ292" s="22"/>
      <c r="AK292" s="22"/>
      <c r="AL292" s="22"/>
      <c r="AM292" s="22"/>
      <c r="AN292" s="22"/>
      <c r="AO292" s="22"/>
      <c r="AP292" s="22"/>
      <c r="AQ292" s="22"/>
    </row>
    <row r="293" spans="1:43"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2"/>
      <c r="Y293" s="22"/>
      <c r="Z293" s="22"/>
      <c r="AA293" s="22"/>
      <c r="AB293" s="22"/>
      <c r="AC293" s="22"/>
      <c r="AD293" s="22"/>
      <c r="AE293" s="22"/>
      <c r="AF293" s="22"/>
      <c r="AG293" s="22"/>
      <c r="AH293" s="22"/>
      <c r="AI293" s="22"/>
      <c r="AJ293" s="22"/>
      <c r="AK293" s="22"/>
      <c r="AL293" s="22"/>
      <c r="AM293" s="22"/>
      <c r="AN293" s="22"/>
      <c r="AO293" s="22"/>
      <c r="AP293" s="22"/>
      <c r="AQ293" s="22"/>
    </row>
    <row r="294" spans="1:43"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2"/>
      <c r="Y294" s="22"/>
      <c r="Z294" s="22"/>
      <c r="AA294" s="22"/>
      <c r="AB294" s="22"/>
      <c r="AC294" s="22"/>
      <c r="AD294" s="22"/>
      <c r="AE294" s="22"/>
      <c r="AF294" s="22"/>
      <c r="AG294" s="22"/>
      <c r="AH294" s="22"/>
      <c r="AI294" s="22"/>
      <c r="AJ294" s="22"/>
      <c r="AK294" s="22"/>
      <c r="AL294" s="22"/>
      <c r="AM294" s="22"/>
      <c r="AN294" s="22"/>
      <c r="AO294" s="22"/>
      <c r="AP294" s="22"/>
      <c r="AQ294" s="22"/>
    </row>
    <row r="295" spans="1:43"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2"/>
      <c r="Y295" s="22"/>
      <c r="Z295" s="22"/>
      <c r="AA295" s="22"/>
      <c r="AB295" s="22"/>
      <c r="AC295" s="22"/>
      <c r="AD295" s="22"/>
      <c r="AE295" s="22"/>
      <c r="AF295" s="22"/>
      <c r="AG295" s="22"/>
      <c r="AH295" s="22"/>
      <c r="AI295" s="22"/>
      <c r="AJ295" s="22"/>
      <c r="AK295" s="22"/>
      <c r="AL295" s="22"/>
      <c r="AM295" s="22"/>
      <c r="AN295" s="22"/>
      <c r="AO295" s="22"/>
      <c r="AP295" s="22"/>
      <c r="AQ295" s="22"/>
    </row>
    <row r="296" spans="1:43"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2"/>
      <c r="Y296" s="22"/>
      <c r="Z296" s="22"/>
      <c r="AA296" s="22"/>
      <c r="AB296" s="22"/>
      <c r="AC296" s="22"/>
      <c r="AD296" s="22"/>
      <c r="AE296" s="22"/>
      <c r="AF296" s="22"/>
      <c r="AG296" s="22"/>
      <c r="AH296" s="22"/>
      <c r="AI296" s="22"/>
      <c r="AJ296" s="22"/>
      <c r="AK296" s="22"/>
      <c r="AL296" s="22"/>
      <c r="AM296" s="22"/>
      <c r="AN296" s="22"/>
      <c r="AO296" s="22"/>
      <c r="AP296" s="22"/>
      <c r="AQ296" s="22"/>
    </row>
    <row r="297" spans="1:43"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2"/>
      <c r="Y297" s="22"/>
      <c r="Z297" s="22"/>
      <c r="AA297" s="22"/>
      <c r="AB297" s="22"/>
      <c r="AC297" s="22"/>
      <c r="AD297" s="22"/>
      <c r="AE297" s="22"/>
      <c r="AF297" s="22"/>
      <c r="AG297" s="22"/>
      <c r="AH297" s="22"/>
      <c r="AI297" s="22"/>
      <c r="AJ297" s="22"/>
      <c r="AK297" s="22"/>
      <c r="AL297" s="22"/>
      <c r="AM297" s="22"/>
      <c r="AN297" s="22"/>
      <c r="AO297" s="22"/>
      <c r="AP297" s="22"/>
      <c r="AQ297" s="22"/>
    </row>
    <row r="298" spans="1:43"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2"/>
      <c r="Y298" s="22"/>
      <c r="Z298" s="22"/>
      <c r="AA298" s="22"/>
      <c r="AB298" s="22"/>
      <c r="AC298" s="22"/>
      <c r="AD298" s="22"/>
      <c r="AE298" s="22"/>
      <c r="AF298" s="22"/>
      <c r="AG298" s="22"/>
      <c r="AH298" s="22"/>
      <c r="AI298" s="22"/>
      <c r="AJ298" s="22"/>
      <c r="AK298" s="22"/>
      <c r="AL298" s="22"/>
      <c r="AM298" s="22"/>
      <c r="AN298" s="22"/>
      <c r="AO298" s="22"/>
      <c r="AP298" s="22"/>
      <c r="AQ298" s="22"/>
    </row>
    <row r="299" spans="1:43"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2"/>
      <c r="Y299" s="22"/>
      <c r="Z299" s="22"/>
      <c r="AA299" s="22"/>
      <c r="AB299" s="22"/>
      <c r="AC299" s="22"/>
      <c r="AD299" s="22"/>
      <c r="AE299" s="22"/>
      <c r="AF299" s="22"/>
      <c r="AG299" s="22"/>
      <c r="AH299" s="22"/>
      <c r="AI299" s="22"/>
      <c r="AJ299" s="22"/>
      <c r="AK299" s="22"/>
      <c r="AL299" s="22"/>
      <c r="AM299" s="22"/>
      <c r="AN299" s="22"/>
      <c r="AO299" s="22"/>
      <c r="AP299" s="22"/>
      <c r="AQ299" s="22"/>
    </row>
    <row r="300" spans="1:43"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2"/>
      <c r="Y300" s="22"/>
      <c r="Z300" s="22"/>
      <c r="AA300" s="22"/>
      <c r="AB300" s="22"/>
      <c r="AC300" s="22"/>
      <c r="AD300" s="22"/>
      <c r="AE300" s="22"/>
      <c r="AF300" s="22"/>
      <c r="AG300" s="22"/>
      <c r="AH300" s="22"/>
      <c r="AI300" s="22"/>
      <c r="AJ300" s="22"/>
      <c r="AK300" s="22"/>
      <c r="AL300" s="22"/>
      <c r="AM300" s="22"/>
      <c r="AN300" s="22"/>
      <c r="AO300" s="22"/>
      <c r="AP300" s="22"/>
      <c r="AQ300" s="22"/>
    </row>
    <row r="301" spans="1:43"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2"/>
      <c r="Y301" s="22"/>
      <c r="Z301" s="22"/>
      <c r="AA301" s="22"/>
      <c r="AB301" s="22"/>
      <c r="AC301" s="22"/>
      <c r="AD301" s="22"/>
      <c r="AE301" s="22"/>
      <c r="AF301" s="22"/>
      <c r="AG301" s="22"/>
      <c r="AH301" s="22"/>
      <c r="AI301" s="22"/>
      <c r="AJ301" s="22"/>
      <c r="AK301" s="22"/>
      <c r="AL301" s="22"/>
      <c r="AM301" s="22"/>
      <c r="AN301" s="22"/>
      <c r="AO301" s="22"/>
      <c r="AP301" s="22"/>
      <c r="AQ301" s="22"/>
    </row>
    <row r="302" spans="1:43"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2"/>
      <c r="Y302" s="22"/>
      <c r="Z302" s="22"/>
      <c r="AA302" s="22"/>
      <c r="AB302" s="22"/>
      <c r="AC302" s="22"/>
      <c r="AD302" s="22"/>
      <c r="AE302" s="22"/>
      <c r="AF302" s="22"/>
      <c r="AG302" s="22"/>
      <c r="AH302" s="22"/>
      <c r="AI302" s="22"/>
      <c r="AJ302" s="22"/>
      <c r="AK302" s="22"/>
      <c r="AL302" s="22"/>
      <c r="AM302" s="22"/>
      <c r="AN302" s="22"/>
      <c r="AO302" s="22"/>
      <c r="AP302" s="22"/>
      <c r="AQ302" s="22"/>
    </row>
    <row r="303" spans="1:43"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2"/>
      <c r="Y303" s="22"/>
      <c r="Z303" s="22"/>
      <c r="AA303" s="22"/>
      <c r="AB303" s="22"/>
      <c r="AC303" s="22"/>
      <c r="AD303" s="22"/>
      <c r="AE303" s="22"/>
      <c r="AF303" s="22"/>
      <c r="AG303" s="22"/>
      <c r="AH303" s="22"/>
      <c r="AI303" s="22"/>
      <c r="AJ303" s="22"/>
      <c r="AK303" s="22"/>
      <c r="AL303" s="22"/>
      <c r="AM303" s="22"/>
      <c r="AN303" s="22"/>
      <c r="AO303" s="22"/>
      <c r="AP303" s="22"/>
      <c r="AQ303" s="22"/>
    </row>
    <row r="304" spans="1:43"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2"/>
      <c r="Y304" s="22"/>
      <c r="Z304" s="22"/>
      <c r="AA304" s="22"/>
      <c r="AB304" s="22"/>
      <c r="AC304" s="22"/>
      <c r="AD304" s="22"/>
      <c r="AE304" s="22"/>
      <c r="AF304" s="22"/>
      <c r="AG304" s="22"/>
      <c r="AH304" s="22"/>
      <c r="AI304" s="22"/>
      <c r="AJ304" s="22"/>
      <c r="AK304" s="22"/>
      <c r="AL304" s="22"/>
      <c r="AM304" s="22"/>
      <c r="AN304" s="22"/>
      <c r="AO304" s="22"/>
      <c r="AP304" s="22"/>
      <c r="AQ304" s="22"/>
    </row>
    <row r="305" spans="1:43"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2"/>
      <c r="Y305" s="22"/>
      <c r="Z305" s="22"/>
      <c r="AA305" s="22"/>
      <c r="AB305" s="22"/>
      <c r="AC305" s="22"/>
      <c r="AD305" s="22"/>
      <c r="AE305" s="22"/>
      <c r="AF305" s="22"/>
      <c r="AG305" s="22"/>
      <c r="AH305" s="22"/>
      <c r="AI305" s="22"/>
      <c r="AJ305" s="22"/>
      <c r="AK305" s="22"/>
      <c r="AL305" s="22"/>
      <c r="AM305" s="22"/>
      <c r="AN305" s="22"/>
      <c r="AO305" s="22"/>
      <c r="AP305" s="22"/>
      <c r="AQ305" s="22"/>
    </row>
    <row r="306" spans="1:43"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2"/>
      <c r="Y306" s="22"/>
      <c r="Z306" s="22"/>
      <c r="AA306" s="22"/>
      <c r="AB306" s="22"/>
      <c r="AC306" s="22"/>
      <c r="AD306" s="22"/>
      <c r="AE306" s="22"/>
      <c r="AF306" s="22"/>
      <c r="AG306" s="22"/>
      <c r="AH306" s="22"/>
      <c r="AI306" s="22"/>
      <c r="AJ306" s="22"/>
      <c r="AK306" s="22"/>
      <c r="AL306" s="22"/>
      <c r="AM306" s="22"/>
      <c r="AN306" s="22"/>
      <c r="AO306" s="22"/>
      <c r="AP306" s="22"/>
      <c r="AQ306" s="22"/>
    </row>
    <row r="307" spans="1:43"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2"/>
      <c r="Y307" s="22"/>
      <c r="Z307" s="22"/>
      <c r="AA307" s="22"/>
      <c r="AB307" s="22"/>
      <c r="AC307" s="22"/>
      <c r="AD307" s="22"/>
      <c r="AE307" s="22"/>
      <c r="AF307" s="22"/>
      <c r="AG307" s="22"/>
      <c r="AH307" s="22"/>
      <c r="AI307" s="22"/>
      <c r="AJ307" s="22"/>
      <c r="AK307" s="22"/>
      <c r="AL307" s="22"/>
      <c r="AM307" s="22"/>
      <c r="AN307" s="22"/>
      <c r="AO307" s="22"/>
      <c r="AP307" s="22"/>
      <c r="AQ307" s="22"/>
    </row>
    <row r="308" spans="1:43"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2"/>
      <c r="Y308" s="22"/>
      <c r="Z308" s="22"/>
      <c r="AA308" s="22"/>
      <c r="AB308" s="22"/>
      <c r="AC308" s="22"/>
      <c r="AD308" s="22"/>
      <c r="AE308" s="22"/>
      <c r="AF308" s="22"/>
      <c r="AG308" s="22"/>
      <c r="AH308" s="22"/>
      <c r="AI308" s="22"/>
      <c r="AJ308" s="22"/>
      <c r="AK308" s="22"/>
      <c r="AL308" s="22"/>
      <c r="AM308" s="22"/>
      <c r="AN308" s="22"/>
      <c r="AO308" s="22"/>
      <c r="AP308" s="22"/>
      <c r="AQ308" s="22"/>
    </row>
    <row r="309" spans="1:43"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2"/>
      <c r="Y309" s="22"/>
      <c r="Z309" s="22"/>
      <c r="AA309" s="22"/>
      <c r="AB309" s="22"/>
      <c r="AC309" s="22"/>
      <c r="AD309" s="22"/>
      <c r="AE309" s="22"/>
      <c r="AF309" s="22"/>
      <c r="AG309" s="22"/>
      <c r="AH309" s="22"/>
      <c r="AI309" s="22"/>
      <c r="AJ309" s="22"/>
      <c r="AK309" s="22"/>
      <c r="AL309" s="22"/>
      <c r="AM309" s="22"/>
      <c r="AN309" s="22"/>
      <c r="AO309" s="22"/>
      <c r="AP309" s="22"/>
      <c r="AQ309" s="22"/>
    </row>
    <row r="310" spans="1:43"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2"/>
      <c r="Y310" s="22"/>
      <c r="Z310" s="22"/>
      <c r="AA310" s="22"/>
      <c r="AB310" s="22"/>
      <c r="AC310" s="22"/>
      <c r="AD310" s="22"/>
      <c r="AE310" s="22"/>
      <c r="AF310" s="22"/>
      <c r="AG310" s="22"/>
      <c r="AH310" s="22"/>
      <c r="AI310" s="22"/>
      <c r="AJ310" s="22"/>
      <c r="AK310" s="22"/>
      <c r="AL310" s="22"/>
      <c r="AM310" s="22"/>
      <c r="AN310" s="22"/>
      <c r="AO310" s="22"/>
      <c r="AP310" s="22"/>
      <c r="AQ310" s="22"/>
    </row>
    <row r="311" spans="1:43"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2"/>
      <c r="Y311" s="22"/>
      <c r="Z311" s="22"/>
      <c r="AA311" s="22"/>
      <c r="AB311" s="22"/>
      <c r="AC311" s="22"/>
      <c r="AD311" s="22"/>
      <c r="AE311" s="22"/>
      <c r="AF311" s="22"/>
      <c r="AG311" s="22"/>
      <c r="AH311" s="22"/>
      <c r="AI311" s="22"/>
      <c r="AJ311" s="22"/>
      <c r="AK311" s="22"/>
      <c r="AL311" s="22"/>
      <c r="AM311" s="22"/>
      <c r="AN311" s="22"/>
      <c r="AO311" s="22"/>
      <c r="AP311" s="22"/>
      <c r="AQ311" s="22"/>
    </row>
    <row r="312" spans="1:43"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2"/>
      <c r="Y312" s="22"/>
      <c r="Z312" s="22"/>
      <c r="AA312" s="22"/>
      <c r="AB312" s="22"/>
      <c r="AC312" s="22"/>
      <c r="AD312" s="22"/>
      <c r="AE312" s="22"/>
      <c r="AF312" s="22"/>
      <c r="AG312" s="22"/>
      <c r="AH312" s="22"/>
      <c r="AI312" s="22"/>
      <c r="AJ312" s="22"/>
      <c r="AK312" s="22"/>
      <c r="AL312" s="22"/>
      <c r="AM312" s="22"/>
      <c r="AN312" s="22"/>
      <c r="AO312" s="22"/>
      <c r="AP312" s="22"/>
      <c r="AQ312" s="22"/>
    </row>
    <row r="313" spans="1:43"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2"/>
      <c r="Y313" s="22"/>
      <c r="Z313" s="22"/>
      <c r="AA313" s="22"/>
      <c r="AB313" s="22"/>
      <c r="AC313" s="22"/>
      <c r="AD313" s="22"/>
      <c r="AE313" s="22"/>
      <c r="AF313" s="22"/>
      <c r="AG313" s="22"/>
      <c r="AH313" s="22"/>
      <c r="AI313" s="22"/>
      <c r="AJ313" s="22"/>
      <c r="AK313" s="22"/>
      <c r="AL313" s="22"/>
      <c r="AM313" s="22"/>
      <c r="AN313" s="22"/>
      <c r="AO313" s="22"/>
      <c r="AP313" s="22"/>
      <c r="AQ313" s="22"/>
    </row>
    <row r="314" spans="1:43"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2"/>
      <c r="Y314" s="22"/>
      <c r="Z314" s="22"/>
      <c r="AA314" s="22"/>
      <c r="AB314" s="22"/>
      <c r="AC314" s="22"/>
      <c r="AD314" s="22"/>
      <c r="AE314" s="22"/>
      <c r="AF314" s="22"/>
      <c r="AG314" s="22"/>
      <c r="AH314" s="22"/>
      <c r="AI314" s="22"/>
      <c r="AJ314" s="22"/>
      <c r="AK314" s="22"/>
      <c r="AL314" s="22"/>
      <c r="AM314" s="22"/>
      <c r="AN314" s="22"/>
      <c r="AO314" s="22"/>
      <c r="AP314" s="22"/>
      <c r="AQ314" s="22"/>
    </row>
    <row r="315" spans="1:43"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2"/>
      <c r="Y315" s="22"/>
      <c r="Z315" s="22"/>
      <c r="AA315" s="22"/>
      <c r="AB315" s="22"/>
      <c r="AC315" s="22"/>
      <c r="AD315" s="22"/>
      <c r="AE315" s="22"/>
      <c r="AF315" s="22"/>
      <c r="AG315" s="22"/>
      <c r="AH315" s="22"/>
      <c r="AI315" s="22"/>
      <c r="AJ315" s="22"/>
      <c r="AK315" s="22"/>
      <c r="AL315" s="22"/>
      <c r="AM315" s="22"/>
      <c r="AN315" s="22"/>
      <c r="AO315" s="22"/>
      <c r="AP315" s="22"/>
      <c r="AQ315" s="22"/>
    </row>
    <row r="316" spans="1:43"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2"/>
      <c r="Y316" s="22"/>
      <c r="Z316" s="22"/>
      <c r="AA316" s="22"/>
      <c r="AB316" s="22"/>
      <c r="AC316" s="22"/>
      <c r="AD316" s="22"/>
      <c r="AE316" s="22"/>
      <c r="AF316" s="22"/>
      <c r="AG316" s="22"/>
      <c r="AH316" s="22"/>
      <c r="AI316" s="22"/>
      <c r="AJ316" s="22"/>
      <c r="AK316" s="22"/>
      <c r="AL316" s="22"/>
      <c r="AM316" s="22"/>
      <c r="AN316" s="22"/>
      <c r="AO316" s="22"/>
      <c r="AP316" s="22"/>
      <c r="AQ316" s="22"/>
    </row>
    <row r="317" spans="1:43"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2"/>
      <c r="Y317" s="22"/>
      <c r="Z317" s="22"/>
      <c r="AA317" s="22"/>
      <c r="AB317" s="22"/>
      <c r="AC317" s="22"/>
      <c r="AD317" s="22"/>
      <c r="AE317" s="22"/>
      <c r="AF317" s="22"/>
      <c r="AG317" s="22"/>
      <c r="AH317" s="22"/>
      <c r="AI317" s="22"/>
      <c r="AJ317" s="22"/>
      <c r="AK317" s="22"/>
      <c r="AL317" s="22"/>
      <c r="AM317" s="22"/>
      <c r="AN317" s="22"/>
      <c r="AO317" s="22"/>
      <c r="AP317" s="22"/>
      <c r="AQ317" s="22"/>
    </row>
    <row r="318" spans="1:43"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2"/>
      <c r="Y318" s="22"/>
      <c r="Z318" s="22"/>
      <c r="AA318" s="22"/>
      <c r="AB318" s="22"/>
      <c r="AC318" s="22"/>
      <c r="AD318" s="22"/>
      <c r="AE318" s="22"/>
      <c r="AF318" s="22"/>
      <c r="AG318" s="22"/>
      <c r="AH318" s="22"/>
      <c r="AI318" s="22"/>
      <c r="AJ318" s="22"/>
      <c r="AK318" s="22"/>
      <c r="AL318" s="22"/>
      <c r="AM318" s="22"/>
      <c r="AN318" s="22"/>
      <c r="AO318" s="22"/>
      <c r="AP318" s="22"/>
      <c r="AQ318" s="22"/>
    </row>
    <row r="319" spans="1:43"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2"/>
      <c r="Y319" s="22"/>
      <c r="Z319" s="22"/>
      <c r="AA319" s="22"/>
      <c r="AB319" s="22"/>
      <c r="AC319" s="22"/>
      <c r="AD319" s="22"/>
      <c r="AE319" s="22"/>
      <c r="AF319" s="22"/>
      <c r="AG319" s="22"/>
      <c r="AH319" s="22"/>
      <c r="AI319" s="22"/>
      <c r="AJ319" s="22"/>
      <c r="AK319" s="22"/>
      <c r="AL319" s="22"/>
      <c r="AM319" s="22"/>
      <c r="AN319" s="22"/>
      <c r="AO319" s="22"/>
      <c r="AP319" s="22"/>
      <c r="AQ319" s="22"/>
    </row>
    <row r="320" spans="1:43"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2"/>
      <c r="Y320" s="22"/>
      <c r="Z320" s="22"/>
      <c r="AA320" s="22"/>
      <c r="AB320" s="22"/>
      <c r="AC320" s="22"/>
      <c r="AD320" s="22"/>
      <c r="AE320" s="22"/>
      <c r="AF320" s="22"/>
      <c r="AG320" s="22"/>
      <c r="AH320" s="22"/>
      <c r="AI320" s="22"/>
      <c r="AJ320" s="22"/>
      <c r="AK320" s="22"/>
      <c r="AL320" s="22"/>
      <c r="AM320" s="22"/>
      <c r="AN320" s="22"/>
      <c r="AO320" s="22"/>
      <c r="AP320" s="22"/>
      <c r="AQ320" s="22"/>
    </row>
    <row r="321" spans="1:43"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2"/>
      <c r="Y321" s="22"/>
      <c r="Z321" s="22"/>
      <c r="AA321" s="22"/>
      <c r="AB321" s="22"/>
      <c r="AC321" s="22"/>
      <c r="AD321" s="22"/>
      <c r="AE321" s="22"/>
      <c r="AF321" s="22"/>
      <c r="AG321" s="22"/>
      <c r="AH321" s="22"/>
      <c r="AI321" s="22"/>
      <c r="AJ321" s="22"/>
      <c r="AK321" s="22"/>
      <c r="AL321" s="22"/>
      <c r="AM321" s="22"/>
      <c r="AN321" s="22"/>
      <c r="AO321" s="22"/>
      <c r="AP321" s="22"/>
      <c r="AQ321" s="22"/>
    </row>
    <row r="322" spans="1:43"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2"/>
      <c r="Y322" s="22"/>
      <c r="Z322" s="22"/>
      <c r="AA322" s="22"/>
      <c r="AB322" s="22"/>
      <c r="AC322" s="22"/>
      <c r="AD322" s="22"/>
      <c r="AE322" s="22"/>
      <c r="AF322" s="22"/>
      <c r="AG322" s="22"/>
      <c r="AH322" s="22"/>
      <c r="AI322" s="22"/>
      <c r="AJ322" s="22"/>
      <c r="AK322" s="22"/>
      <c r="AL322" s="22"/>
      <c r="AM322" s="22"/>
      <c r="AN322" s="22"/>
      <c r="AO322" s="22"/>
      <c r="AP322" s="22"/>
      <c r="AQ322" s="22"/>
    </row>
    <row r="323" spans="1:43"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2"/>
      <c r="Y323" s="22"/>
      <c r="Z323" s="22"/>
      <c r="AA323" s="22"/>
      <c r="AB323" s="22"/>
      <c r="AC323" s="22"/>
      <c r="AD323" s="22"/>
      <c r="AE323" s="22"/>
      <c r="AF323" s="22"/>
      <c r="AG323" s="22"/>
      <c r="AH323" s="22"/>
      <c r="AI323" s="22"/>
      <c r="AJ323" s="22"/>
      <c r="AK323" s="22"/>
      <c r="AL323" s="22"/>
      <c r="AM323" s="22"/>
      <c r="AN323" s="22"/>
      <c r="AO323" s="22"/>
      <c r="AP323" s="22"/>
      <c r="AQ323" s="22"/>
    </row>
    <row r="324" spans="1:43"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2"/>
      <c r="Y324" s="22"/>
      <c r="Z324" s="22"/>
      <c r="AA324" s="22"/>
      <c r="AB324" s="22"/>
      <c r="AC324" s="22"/>
      <c r="AD324" s="22"/>
      <c r="AE324" s="22"/>
      <c r="AF324" s="22"/>
      <c r="AG324" s="22"/>
      <c r="AH324" s="22"/>
      <c r="AI324" s="22"/>
      <c r="AJ324" s="22"/>
      <c r="AK324" s="22"/>
      <c r="AL324" s="22"/>
      <c r="AM324" s="22"/>
      <c r="AN324" s="22"/>
      <c r="AO324" s="22"/>
      <c r="AP324" s="22"/>
      <c r="AQ324" s="22"/>
    </row>
    <row r="325" spans="1:43"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2"/>
      <c r="Y325" s="22"/>
      <c r="Z325" s="22"/>
      <c r="AA325" s="22"/>
      <c r="AB325" s="22"/>
      <c r="AC325" s="22"/>
      <c r="AD325" s="22"/>
      <c r="AE325" s="22"/>
      <c r="AF325" s="22"/>
      <c r="AG325" s="22"/>
      <c r="AH325" s="22"/>
      <c r="AI325" s="22"/>
      <c r="AJ325" s="22"/>
      <c r="AK325" s="22"/>
      <c r="AL325" s="22"/>
      <c r="AM325" s="22"/>
      <c r="AN325" s="22"/>
      <c r="AO325" s="22"/>
      <c r="AP325" s="22"/>
      <c r="AQ325" s="22"/>
    </row>
    <row r="326" spans="1:43"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2"/>
      <c r="Y326" s="22"/>
      <c r="Z326" s="22"/>
      <c r="AA326" s="22"/>
      <c r="AB326" s="22"/>
      <c r="AC326" s="22"/>
      <c r="AD326" s="22"/>
      <c r="AE326" s="22"/>
      <c r="AF326" s="22"/>
      <c r="AG326" s="22"/>
      <c r="AH326" s="22"/>
      <c r="AI326" s="22"/>
      <c r="AJ326" s="22"/>
      <c r="AK326" s="22"/>
      <c r="AL326" s="22"/>
      <c r="AM326" s="22"/>
      <c r="AN326" s="22"/>
      <c r="AO326" s="22"/>
      <c r="AP326" s="22"/>
      <c r="AQ326" s="22"/>
    </row>
    <row r="327" spans="1:43"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2"/>
      <c r="Y327" s="22"/>
      <c r="Z327" s="22"/>
      <c r="AA327" s="22"/>
      <c r="AB327" s="22"/>
      <c r="AC327" s="22"/>
      <c r="AD327" s="22"/>
      <c r="AE327" s="22"/>
      <c r="AF327" s="22"/>
      <c r="AG327" s="22"/>
      <c r="AH327" s="22"/>
      <c r="AI327" s="22"/>
      <c r="AJ327" s="22"/>
      <c r="AK327" s="22"/>
      <c r="AL327" s="22"/>
      <c r="AM327" s="22"/>
      <c r="AN327" s="22"/>
      <c r="AO327" s="22"/>
      <c r="AP327" s="22"/>
      <c r="AQ327" s="22"/>
    </row>
    <row r="328" spans="1:43"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2"/>
      <c r="Y328" s="22"/>
      <c r="Z328" s="22"/>
      <c r="AA328" s="22"/>
      <c r="AB328" s="22"/>
      <c r="AC328" s="22"/>
      <c r="AD328" s="22"/>
      <c r="AE328" s="22"/>
      <c r="AF328" s="22"/>
      <c r="AG328" s="22"/>
      <c r="AH328" s="22"/>
      <c r="AI328" s="22"/>
      <c r="AJ328" s="22"/>
      <c r="AK328" s="22"/>
      <c r="AL328" s="22"/>
      <c r="AM328" s="22"/>
      <c r="AN328" s="22"/>
      <c r="AO328" s="22"/>
      <c r="AP328" s="22"/>
      <c r="AQ328" s="22"/>
    </row>
    <row r="329" spans="1:43"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2"/>
      <c r="Y329" s="22"/>
      <c r="Z329" s="22"/>
      <c r="AA329" s="22"/>
      <c r="AB329" s="22"/>
      <c r="AC329" s="22"/>
      <c r="AD329" s="22"/>
      <c r="AE329" s="22"/>
      <c r="AF329" s="22"/>
      <c r="AG329" s="22"/>
      <c r="AH329" s="22"/>
      <c r="AI329" s="22"/>
      <c r="AJ329" s="22"/>
      <c r="AK329" s="22"/>
      <c r="AL329" s="22"/>
      <c r="AM329" s="22"/>
      <c r="AN329" s="22"/>
      <c r="AO329" s="22"/>
      <c r="AP329" s="22"/>
      <c r="AQ329" s="22"/>
    </row>
    <row r="330" spans="1:43"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2"/>
      <c r="Y330" s="22"/>
      <c r="Z330" s="22"/>
      <c r="AA330" s="22"/>
      <c r="AB330" s="22"/>
      <c r="AC330" s="22"/>
      <c r="AD330" s="22"/>
      <c r="AE330" s="22"/>
      <c r="AF330" s="22"/>
      <c r="AG330" s="22"/>
      <c r="AH330" s="22"/>
      <c r="AI330" s="22"/>
      <c r="AJ330" s="22"/>
      <c r="AK330" s="22"/>
      <c r="AL330" s="22"/>
      <c r="AM330" s="22"/>
      <c r="AN330" s="22"/>
      <c r="AO330" s="22"/>
      <c r="AP330" s="22"/>
      <c r="AQ330" s="22"/>
    </row>
    <row r="331" spans="1:43"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2"/>
      <c r="Y331" s="22"/>
      <c r="Z331" s="22"/>
      <c r="AA331" s="22"/>
      <c r="AB331" s="22"/>
      <c r="AC331" s="22"/>
      <c r="AD331" s="22"/>
      <c r="AE331" s="22"/>
      <c r="AF331" s="22"/>
      <c r="AG331" s="22"/>
      <c r="AH331" s="22"/>
      <c r="AI331" s="22"/>
      <c r="AJ331" s="22"/>
      <c r="AK331" s="22"/>
      <c r="AL331" s="22"/>
      <c r="AM331" s="22"/>
      <c r="AN331" s="22"/>
      <c r="AO331" s="22"/>
      <c r="AP331" s="22"/>
      <c r="AQ331" s="22"/>
    </row>
    <row r="332" spans="1:43"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2"/>
      <c r="Y332" s="22"/>
      <c r="Z332" s="22"/>
      <c r="AA332" s="22"/>
      <c r="AB332" s="22"/>
      <c r="AC332" s="22"/>
      <c r="AD332" s="22"/>
      <c r="AE332" s="22"/>
      <c r="AF332" s="22"/>
      <c r="AG332" s="22"/>
      <c r="AH332" s="22"/>
      <c r="AI332" s="22"/>
      <c r="AJ332" s="22"/>
      <c r="AK332" s="22"/>
      <c r="AL332" s="22"/>
      <c r="AM332" s="22"/>
      <c r="AN332" s="22"/>
      <c r="AO332" s="22"/>
      <c r="AP332" s="22"/>
      <c r="AQ332" s="22"/>
    </row>
    <row r="333" spans="1:43"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2"/>
      <c r="Y333" s="22"/>
      <c r="Z333" s="22"/>
      <c r="AA333" s="22"/>
      <c r="AB333" s="22"/>
      <c r="AC333" s="22"/>
      <c r="AD333" s="22"/>
      <c r="AE333" s="22"/>
      <c r="AF333" s="22"/>
      <c r="AG333" s="22"/>
      <c r="AH333" s="22"/>
      <c r="AI333" s="22"/>
      <c r="AJ333" s="22"/>
      <c r="AK333" s="22"/>
      <c r="AL333" s="22"/>
      <c r="AM333" s="22"/>
      <c r="AN333" s="22"/>
      <c r="AO333" s="22"/>
      <c r="AP333" s="22"/>
      <c r="AQ333" s="22"/>
    </row>
    <row r="334" spans="1:43"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2"/>
      <c r="Y334" s="22"/>
      <c r="Z334" s="22"/>
      <c r="AA334" s="22"/>
      <c r="AB334" s="22"/>
      <c r="AC334" s="22"/>
      <c r="AD334" s="22"/>
      <c r="AE334" s="22"/>
      <c r="AF334" s="22"/>
      <c r="AG334" s="22"/>
      <c r="AH334" s="22"/>
      <c r="AI334" s="22"/>
      <c r="AJ334" s="22"/>
      <c r="AK334" s="22"/>
      <c r="AL334" s="22"/>
      <c r="AM334" s="22"/>
      <c r="AN334" s="22"/>
      <c r="AO334" s="22"/>
      <c r="AP334" s="22"/>
      <c r="AQ334" s="22"/>
    </row>
    <row r="335" spans="1:43"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2"/>
      <c r="Y335" s="22"/>
      <c r="Z335" s="22"/>
      <c r="AA335" s="22"/>
      <c r="AB335" s="22"/>
      <c r="AC335" s="22"/>
      <c r="AD335" s="22"/>
      <c r="AE335" s="22"/>
      <c r="AF335" s="22"/>
      <c r="AG335" s="22"/>
      <c r="AH335" s="22"/>
      <c r="AI335" s="22"/>
      <c r="AJ335" s="22"/>
      <c r="AK335" s="22"/>
      <c r="AL335" s="22"/>
      <c r="AM335" s="22"/>
      <c r="AN335" s="22"/>
      <c r="AO335" s="22"/>
      <c r="AP335" s="22"/>
      <c r="AQ335" s="22"/>
    </row>
    <row r="336" spans="1:43"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2"/>
      <c r="Y336" s="22"/>
      <c r="Z336" s="22"/>
      <c r="AA336" s="22"/>
      <c r="AB336" s="22"/>
      <c r="AC336" s="22"/>
      <c r="AD336" s="22"/>
      <c r="AE336" s="22"/>
      <c r="AF336" s="22"/>
      <c r="AG336" s="22"/>
      <c r="AH336" s="22"/>
      <c r="AI336" s="22"/>
      <c r="AJ336" s="22"/>
      <c r="AK336" s="22"/>
      <c r="AL336" s="22"/>
      <c r="AM336" s="22"/>
      <c r="AN336" s="22"/>
      <c r="AO336" s="22"/>
      <c r="AP336" s="22"/>
      <c r="AQ336" s="22"/>
    </row>
    <row r="337" spans="1:43"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2"/>
      <c r="Y337" s="22"/>
      <c r="Z337" s="22"/>
      <c r="AA337" s="22"/>
      <c r="AB337" s="22"/>
      <c r="AC337" s="22"/>
      <c r="AD337" s="22"/>
      <c r="AE337" s="22"/>
      <c r="AF337" s="22"/>
      <c r="AG337" s="22"/>
      <c r="AH337" s="22"/>
      <c r="AI337" s="22"/>
      <c r="AJ337" s="22"/>
      <c r="AK337" s="22"/>
      <c r="AL337" s="22"/>
      <c r="AM337" s="22"/>
      <c r="AN337" s="22"/>
      <c r="AO337" s="22"/>
      <c r="AP337" s="22"/>
      <c r="AQ337" s="22"/>
    </row>
    <row r="338" spans="1:43"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2"/>
      <c r="Y338" s="22"/>
      <c r="Z338" s="22"/>
      <c r="AA338" s="22"/>
      <c r="AB338" s="22"/>
      <c r="AC338" s="22"/>
      <c r="AD338" s="22"/>
      <c r="AE338" s="22"/>
      <c r="AF338" s="22"/>
      <c r="AG338" s="22"/>
      <c r="AH338" s="22"/>
      <c r="AI338" s="22"/>
      <c r="AJ338" s="22"/>
      <c r="AK338" s="22"/>
      <c r="AL338" s="22"/>
      <c r="AM338" s="22"/>
      <c r="AN338" s="22"/>
      <c r="AO338" s="22"/>
      <c r="AP338" s="22"/>
      <c r="AQ338" s="22"/>
    </row>
    <row r="339" spans="1:43"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2"/>
      <c r="Y339" s="22"/>
      <c r="Z339" s="22"/>
      <c r="AA339" s="22"/>
      <c r="AB339" s="22"/>
      <c r="AC339" s="22"/>
      <c r="AD339" s="22"/>
      <c r="AE339" s="22"/>
      <c r="AF339" s="22"/>
      <c r="AG339" s="22"/>
      <c r="AH339" s="22"/>
      <c r="AI339" s="22"/>
      <c r="AJ339" s="22"/>
      <c r="AK339" s="22"/>
      <c r="AL339" s="22"/>
      <c r="AM339" s="22"/>
      <c r="AN339" s="22"/>
      <c r="AO339" s="22"/>
      <c r="AP339" s="22"/>
      <c r="AQ339" s="22"/>
    </row>
    <row r="340" spans="1:43"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2"/>
      <c r="Y340" s="22"/>
      <c r="Z340" s="22"/>
      <c r="AA340" s="22"/>
      <c r="AB340" s="22"/>
      <c r="AC340" s="22"/>
      <c r="AD340" s="22"/>
      <c r="AE340" s="22"/>
      <c r="AF340" s="22"/>
      <c r="AG340" s="22"/>
      <c r="AH340" s="22"/>
      <c r="AI340" s="22"/>
      <c r="AJ340" s="22"/>
      <c r="AK340" s="22"/>
      <c r="AL340" s="22"/>
      <c r="AM340" s="22"/>
      <c r="AN340" s="22"/>
      <c r="AO340" s="22"/>
      <c r="AP340" s="22"/>
      <c r="AQ340" s="22"/>
    </row>
    <row r="341" spans="1:43"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2"/>
      <c r="Y341" s="22"/>
      <c r="Z341" s="22"/>
      <c r="AA341" s="22"/>
      <c r="AB341" s="22"/>
      <c r="AC341" s="22"/>
      <c r="AD341" s="22"/>
      <c r="AE341" s="22"/>
      <c r="AF341" s="22"/>
      <c r="AG341" s="22"/>
      <c r="AH341" s="22"/>
      <c r="AI341" s="22"/>
      <c r="AJ341" s="22"/>
      <c r="AK341" s="22"/>
      <c r="AL341" s="22"/>
      <c r="AM341" s="22"/>
      <c r="AN341" s="22"/>
      <c r="AO341" s="22"/>
      <c r="AP341" s="22"/>
      <c r="AQ341" s="22"/>
    </row>
    <row r="342" spans="1:43"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2"/>
      <c r="Y342" s="22"/>
      <c r="Z342" s="22"/>
      <c r="AA342" s="22"/>
      <c r="AB342" s="22"/>
      <c r="AC342" s="22"/>
      <c r="AD342" s="22"/>
      <c r="AE342" s="22"/>
      <c r="AF342" s="22"/>
      <c r="AG342" s="22"/>
      <c r="AH342" s="22"/>
      <c r="AI342" s="22"/>
      <c r="AJ342" s="22"/>
      <c r="AK342" s="22"/>
      <c r="AL342" s="22"/>
      <c r="AM342" s="22"/>
      <c r="AN342" s="22"/>
      <c r="AO342" s="22"/>
      <c r="AP342" s="22"/>
      <c r="AQ342" s="22"/>
    </row>
    <row r="343" spans="1:43"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2"/>
      <c r="Y343" s="22"/>
      <c r="Z343" s="22"/>
      <c r="AA343" s="22"/>
      <c r="AB343" s="22"/>
      <c r="AC343" s="22"/>
      <c r="AD343" s="22"/>
      <c r="AE343" s="22"/>
      <c r="AF343" s="22"/>
      <c r="AG343" s="22"/>
      <c r="AH343" s="22"/>
      <c r="AI343" s="22"/>
      <c r="AJ343" s="22"/>
      <c r="AK343" s="22"/>
      <c r="AL343" s="22"/>
      <c r="AM343" s="22"/>
      <c r="AN343" s="22"/>
      <c r="AO343" s="22"/>
      <c r="AP343" s="22"/>
      <c r="AQ343" s="22"/>
    </row>
    <row r="344" spans="1:43"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2"/>
      <c r="Y344" s="22"/>
      <c r="Z344" s="22"/>
      <c r="AA344" s="22"/>
      <c r="AB344" s="22"/>
      <c r="AC344" s="22"/>
      <c r="AD344" s="22"/>
      <c r="AE344" s="22"/>
      <c r="AF344" s="22"/>
      <c r="AG344" s="22"/>
      <c r="AH344" s="22"/>
      <c r="AI344" s="22"/>
      <c r="AJ344" s="22"/>
      <c r="AK344" s="22"/>
      <c r="AL344" s="22"/>
      <c r="AM344" s="22"/>
      <c r="AN344" s="22"/>
      <c r="AO344" s="22"/>
      <c r="AP344" s="22"/>
      <c r="AQ344" s="22"/>
    </row>
    <row r="345" spans="1:43"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2"/>
      <c r="Y345" s="22"/>
      <c r="Z345" s="22"/>
      <c r="AA345" s="22"/>
      <c r="AB345" s="22"/>
      <c r="AC345" s="22"/>
      <c r="AD345" s="22"/>
      <c r="AE345" s="22"/>
      <c r="AF345" s="22"/>
      <c r="AG345" s="22"/>
      <c r="AH345" s="22"/>
      <c r="AI345" s="22"/>
      <c r="AJ345" s="22"/>
      <c r="AK345" s="22"/>
      <c r="AL345" s="22"/>
      <c r="AM345" s="22"/>
      <c r="AN345" s="22"/>
      <c r="AO345" s="22"/>
      <c r="AP345" s="22"/>
      <c r="AQ345" s="22"/>
    </row>
    <row r="346" spans="1:43"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2"/>
      <c r="Y346" s="22"/>
      <c r="Z346" s="22"/>
      <c r="AA346" s="22"/>
      <c r="AB346" s="22"/>
      <c r="AC346" s="22"/>
      <c r="AD346" s="22"/>
      <c r="AE346" s="22"/>
      <c r="AF346" s="22"/>
      <c r="AG346" s="22"/>
      <c r="AH346" s="22"/>
      <c r="AI346" s="22"/>
      <c r="AJ346" s="22"/>
      <c r="AK346" s="22"/>
      <c r="AL346" s="22"/>
      <c r="AM346" s="22"/>
      <c r="AN346" s="22"/>
      <c r="AO346" s="22"/>
      <c r="AP346" s="22"/>
      <c r="AQ346" s="22"/>
    </row>
    <row r="347" spans="1:43"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2"/>
      <c r="Y347" s="22"/>
      <c r="Z347" s="22"/>
      <c r="AA347" s="22"/>
      <c r="AB347" s="22"/>
      <c r="AC347" s="22"/>
      <c r="AD347" s="22"/>
      <c r="AE347" s="22"/>
      <c r="AF347" s="22"/>
      <c r="AG347" s="22"/>
      <c r="AH347" s="22"/>
      <c r="AI347" s="22"/>
      <c r="AJ347" s="22"/>
      <c r="AK347" s="22"/>
      <c r="AL347" s="22"/>
      <c r="AM347" s="22"/>
      <c r="AN347" s="22"/>
      <c r="AO347" s="22"/>
      <c r="AP347" s="22"/>
      <c r="AQ347" s="22"/>
    </row>
    <row r="348" spans="1:43"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2"/>
      <c r="Y348" s="22"/>
      <c r="Z348" s="22"/>
      <c r="AA348" s="22"/>
      <c r="AB348" s="22"/>
      <c r="AC348" s="22"/>
      <c r="AD348" s="22"/>
      <c r="AE348" s="22"/>
      <c r="AF348" s="22"/>
      <c r="AG348" s="22"/>
      <c r="AH348" s="22"/>
      <c r="AI348" s="22"/>
      <c r="AJ348" s="22"/>
      <c r="AK348" s="22"/>
      <c r="AL348" s="22"/>
      <c r="AM348" s="22"/>
      <c r="AN348" s="22"/>
      <c r="AO348" s="22"/>
      <c r="AP348" s="22"/>
      <c r="AQ348" s="22"/>
    </row>
    <row r="349" spans="1:43"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2"/>
      <c r="Y349" s="22"/>
      <c r="Z349" s="22"/>
      <c r="AA349" s="22"/>
      <c r="AB349" s="22"/>
      <c r="AC349" s="22"/>
      <c r="AD349" s="22"/>
      <c r="AE349" s="22"/>
      <c r="AF349" s="22"/>
      <c r="AG349" s="22"/>
      <c r="AH349" s="22"/>
      <c r="AI349" s="22"/>
      <c r="AJ349" s="22"/>
      <c r="AK349" s="22"/>
      <c r="AL349" s="22"/>
      <c r="AM349" s="22"/>
      <c r="AN349" s="22"/>
      <c r="AO349" s="22"/>
      <c r="AP349" s="22"/>
      <c r="AQ349" s="22"/>
    </row>
    <row r="350" spans="1:43"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2"/>
      <c r="Y350" s="22"/>
      <c r="Z350" s="22"/>
      <c r="AA350" s="22"/>
      <c r="AB350" s="22"/>
      <c r="AC350" s="22"/>
      <c r="AD350" s="22"/>
      <c r="AE350" s="22"/>
      <c r="AF350" s="22"/>
      <c r="AG350" s="22"/>
      <c r="AH350" s="22"/>
      <c r="AI350" s="22"/>
      <c r="AJ350" s="22"/>
      <c r="AK350" s="22"/>
      <c r="AL350" s="22"/>
      <c r="AM350" s="22"/>
      <c r="AN350" s="22"/>
      <c r="AO350" s="22"/>
      <c r="AP350" s="22"/>
      <c r="AQ350" s="22"/>
    </row>
    <row r="351" spans="1:43"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2"/>
      <c r="Y351" s="22"/>
      <c r="Z351" s="22"/>
      <c r="AA351" s="22"/>
      <c r="AB351" s="22"/>
      <c r="AC351" s="22"/>
      <c r="AD351" s="22"/>
      <c r="AE351" s="22"/>
      <c r="AF351" s="22"/>
      <c r="AG351" s="22"/>
      <c r="AH351" s="22"/>
      <c r="AI351" s="22"/>
      <c r="AJ351" s="22"/>
      <c r="AK351" s="22"/>
      <c r="AL351" s="22"/>
      <c r="AM351" s="22"/>
      <c r="AN351" s="22"/>
      <c r="AO351" s="22"/>
      <c r="AP351" s="22"/>
      <c r="AQ351" s="22"/>
    </row>
    <row r="352" spans="1:43"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2"/>
      <c r="Y352" s="22"/>
      <c r="Z352" s="22"/>
      <c r="AA352" s="22"/>
      <c r="AB352" s="22"/>
      <c r="AC352" s="22"/>
      <c r="AD352" s="22"/>
      <c r="AE352" s="22"/>
      <c r="AF352" s="22"/>
      <c r="AG352" s="22"/>
      <c r="AH352" s="22"/>
      <c r="AI352" s="22"/>
      <c r="AJ352" s="22"/>
      <c r="AK352" s="22"/>
      <c r="AL352" s="22"/>
      <c r="AM352" s="22"/>
      <c r="AN352" s="22"/>
      <c r="AO352" s="22"/>
      <c r="AP352" s="22"/>
      <c r="AQ352" s="22"/>
    </row>
    <row r="353" spans="1:43"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2"/>
      <c r="Y353" s="22"/>
      <c r="Z353" s="22"/>
      <c r="AA353" s="22"/>
      <c r="AB353" s="22"/>
      <c r="AC353" s="22"/>
      <c r="AD353" s="22"/>
      <c r="AE353" s="22"/>
      <c r="AF353" s="22"/>
      <c r="AG353" s="22"/>
      <c r="AH353" s="22"/>
      <c r="AI353" s="22"/>
      <c r="AJ353" s="22"/>
      <c r="AK353" s="22"/>
      <c r="AL353" s="22"/>
      <c r="AM353" s="22"/>
      <c r="AN353" s="22"/>
      <c r="AO353" s="22"/>
      <c r="AP353" s="22"/>
      <c r="AQ353" s="22"/>
    </row>
    <row r="354" spans="1:43"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2"/>
      <c r="Y354" s="22"/>
      <c r="Z354" s="22"/>
      <c r="AA354" s="22"/>
      <c r="AB354" s="22"/>
      <c r="AC354" s="22"/>
      <c r="AD354" s="22"/>
      <c r="AE354" s="22"/>
      <c r="AF354" s="22"/>
      <c r="AG354" s="22"/>
      <c r="AH354" s="22"/>
      <c r="AI354" s="22"/>
      <c r="AJ354" s="22"/>
      <c r="AK354" s="22"/>
      <c r="AL354" s="22"/>
      <c r="AM354" s="22"/>
      <c r="AN354" s="22"/>
      <c r="AO354" s="22"/>
      <c r="AP354" s="22"/>
      <c r="AQ354" s="22"/>
    </row>
    <row r="355" spans="1:43"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2"/>
      <c r="Y355" s="22"/>
      <c r="Z355" s="22"/>
      <c r="AA355" s="22"/>
      <c r="AB355" s="22"/>
      <c r="AC355" s="22"/>
      <c r="AD355" s="22"/>
      <c r="AE355" s="22"/>
      <c r="AF355" s="22"/>
      <c r="AG355" s="22"/>
      <c r="AH355" s="22"/>
      <c r="AI355" s="22"/>
      <c r="AJ355" s="22"/>
      <c r="AK355" s="22"/>
      <c r="AL355" s="22"/>
      <c r="AM355" s="22"/>
      <c r="AN355" s="22"/>
      <c r="AO355" s="22"/>
      <c r="AP355" s="22"/>
      <c r="AQ355" s="22"/>
    </row>
    <row r="356" spans="1:43"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2"/>
      <c r="Y356" s="22"/>
      <c r="Z356" s="22"/>
      <c r="AA356" s="22"/>
      <c r="AB356" s="22"/>
      <c r="AC356" s="22"/>
      <c r="AD356" s="22"/>
      <c r="AE356" s="22"/>
      <c r="AF356" s="22"/>
      <c r="AG356" s="22"/>
      <c r="AH356" s="22"/>
      <c r="AI356" s="22"/>
      <c r="AJ356" s="22"/>
      <c r="AK356" s="22"/>
      <c r="AL356" s="22"/>
      <c r="AM356" s="22"/>
      <c r="AN356" s="22"/>
      <c r="AO356" s="22"/>
      <c r="AP356" s="22"/>
      <c r="AQ356" s="22"/>
    </row>
    <row r="357" spans="1:43"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2"/>
      <c r="Y357" s="22"/>
      <c r="Z357" s="22"/>
      <c r="AA357" s="22"/>
      <c r="AB357" s="22"/>
      <c r="AC357" s="22"/>
      <c r="AD357" s="22"/>
      <c r="AE357" s="22"/>
      <c r="AF357" s="22"/>
      <c r="AG357" s="22"/>
      <c r="AH357" s="22"/>
      <c r="AI357" s="22"/>
      <c r="AJ357" s="22"/>
      <c r="AK357" s="22"/>
      <c r="AL357" s="22"/>
      <c r="AM357" s="22"/>
      <c r="AN357" s="22"/>
      <c r="AO357" s="22"/>
      <c r="AP357" s="22"/>
      <c r="AQ357" s="22"/>
    </row>
    <row r="358" spans="1:43"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2"/>
      <c r="Y358" s="22"/>
      <c r="Z358" s="22"/>
      <c r="AA358" s="22"/>
      <c r="AB358" s="22"/>
      <c r="AC358" s="22"/>
      <c r="AD358" s="22"/>
      <c r="AE358" s="22"/>
      <c r="AF358" s="22"/>
      <c r="AG358" s="22"/>
      <c r="AH358" s="22"/>
      <c r="AI358" s="22"/>
      <c r="AJ358" s="22"/>
      <c r="AK358" s="22"/>
      <c r="AL358" s="22"/>
      <c r="AM358" s="22"/>
      <c r="AN358" s="22"/>
      <c r="AO358" s="22"/>
      <c r="AP358" s="22"/>
      <c r="AQ358" s="22"/>
    </row>
    <row r="359" spans="1:43"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2"/>
      <c r="Y359" s="22"/>
      <c r="Z359" s="22"/>
      <c r="AA359" s="22"/>
      <c r="AB359" s="22"/>
      <c r="AC359" s="22"/>
      <c r="AD359" s="22"/>
      <c r="AE359" s="22"/>
      <c r="AF359" s="22"/>
      <c r="AG359" s="22"/>
      <c r="AH359" s="22"/>
      <c r="AI359" s="22"/>
      <c r="AJ359" s="22"/>
      <c r="AK359" s="22"/>
      <c r="AL359" s="22"/>
      <c r="AM359" s="22"/>
      <c r="AN359" s="22"/>
      <c r="AO359" s="22"/>
      <c r="AP359" s="22"/>
      <c r="AQ359" s="22"/>
    </row>
    <row r="360" spans="1:43"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2"/>
      <c r="Y360" s="22"/>
      <c r="Z360" s="22"/>
      <c r="AA360" s="22"/>
      <c r="AB360" s="22"/>
      <c r="AC360" s="22"/>
      <c r="AD360" s="22"/>
      <c r="AE360" s="22"/>
      <c r="AF360" s="22"/>
      <c r="AG360" s="22"/>
      <c r="AH360" s="22"/>
      <c r="AI360" s="22"/>
      <c r="AJ360" s="22"/>
      <c r="AK360" s="22"/>
      <c r="AL360" s="22"/>
      <c r="AM360" s="22"/>
      <c r="AN360" s="22"/>
      <c r="AO360" s="22"/>
      <c r="AP360" s="22"/>
      <c r="AQ360" s="22"/>
    </row>
    <row r="361" spans="1:43"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2"/>
      <c r="Y361" s="22"/>
      <c r="Z361" s="22"/>
      <c r="AA361" s="22"/>
      <c r="AB361" s="22"/>
      <c r="AC361" s="22"/>
      <c r="AD361" s="22"/>
      <c r="AE361" s="22"/>
      <c r="AF361" s="22"/>
      <c r="AG361" s="22"/>
      <c r="AH361" s="22"/>
      <c r="AI361" s="22"/>
      <c r="AJ361" s="22"/>
      <c r="AK361" s="22"/>
      <c r="AL361" s="22"/>
      <c r="AM361" s="22"/>
      <c r="AN361" s="22"/>
      <c r="AO361" s="22"/>
      <c r="AP361" s="22"/>
      <c r="AQ361" s="22"/>
    </row>
    <row r="362" spans="1:43"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2"/>
      <c r="Y362" s="22"/>
      <c r="Z362" s="22"/>
      <c r="AA362" s="22"/>
      <c r="AB362" s="22"/>
      <c r="AC362" s="22"/>
      <c r="AD362" s="22"/>
      <c r="AE362" s="22"/>
      <c r="AF362" s="22"/>
      <c r="AG362" s="22"/>
      <c r="AH362" s="22"/>
      <c r="AI362" s="22"/>
      <c r="AJ362" s="22"/>
      <c r="AK362" s="22"/>
      <c r="AL362" s="22"/>
      <c r="AM362" s="22"/>
      <c r="AN362" s="22"/>
      <c r="AO362" s="22"/>
      <c r="AP362" s="22"/>
      <c r="AQ362" s="22"/>
    </row>
    <row r="363" spans="1:43"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2"/>
      <c r="Y363" s="22"/>
      <c r="Z363" s="22"/>
      <c r="AA363" s="22"/>
      <c r="AB363" s="22"/>
      <c r="AC363" s="22"/>
      <c r="AD363" s="22"/>
      <c r="AE363" s="22"/>
      <c r="AF363" s="22"/>
      <c r="AG363" s="22"/>
      <c r="AH363" s="22"/>
      <c r="AI363" s="22"/>
      <c r="AJ363" s="22"/>
      <c r="AK363" s="22"/>
      <c r="AL363" s="22"/>
      <c r="AM363" s="22"/>
      <c r="AN363" s="22"/>
      <c r="AO363" s="22"/>
      <c r="AP363" s="22"/>
      <c r="AQ363" s="22"/>
    </row>
    <row r="364" spans="1:43"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2"/>
      <c r="Y364" s="22"/>
      <c r="Z364" s="22"/>
      <c r="AA364" s="22"/>
      <c r="AB364" s="22"/>
      <c r="AC364" s="22"/>
      <c r="AD364" s="22"/>
      <c r="AE364" s="22"/>
      <c r="AF364" s="22"/>
      <c r="AG364" s="22"/>
      <c r="AH364" s="22"/>
      <c r="AI364" s="22"/>
      <c r="AJ364" s="22"/>
      <c r="AK364" s="22"/>
      <c r="AL364" s="22"/>
      <c r="AM364" s="22"/>
      <c r="AN364" s="22"/>
      <c r="AO364" s="22"/>
      <c r="AP364" s="22"/>
      <c r="AQ364" s="22"/>
    </row>
    <row r="365" spans="1:43"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2"/>
      <c r="Y365" s="22"/>
      <c r="Z365" s="22"/>
      <c r="AA365" s="22"/>
      <c r="AB365" s="22"/>
      <c r="AC365" s="22"/>
      <c r="AD365" s="22"/>
      <c r="AE365" s="22"/>
      <c r="AF365" s="22"/>
      <c r="AG365" s="22"/>
      <c r="AH365" s="22"/>
      <c r="AI365" s="22"/>
      <c r="AJ365" s="22"/>
      <c r="AK365" s="22"/>
      <c r="AL365" s="22"/>
      <c r="AM365" s="22"/>
      <c r="AN365" s="22"/>
      <c r="AO365" s="22"/>
      <c r="AP365" s="22"/>
      <c r="AQ365" s="22"/>
    </row>
    <row r="366" spans="1:43"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2"/>
      <c r="Y366" s="22"/>
      <c r="Z366" s="22"/>
      <c r="AA366" s="22"/>
      <c r="AB366" s="22"/>
      <c r="AC366" s="22"/>
      <c r="AD366" s="22"/>
      <c r="AE366" s="22"/>
      <c r="AF366" s="22"/>
      <c r="AG366" s="22"/>
      <c r="AH366" s="22"/>
      <c r="AI366" s="22"/>
      <c r="AJ366" s="22"/>
      <c r="AK366" s="22"/>
      <c r="AL366" s="22"/>
      <c r="AM366" s="22"/>
      <c r="AN366" s="22"/>
      <c r="AO366" s="22"/>
      <c r="AP366" s="22"/>
      <c r="AQ366" s="22"/>
    </row>
    <row r="367" spans="1:43"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2"/>
      <c r="Y367" s="22"/>
      <c r="Z367" s="22"/>
      <c r="AA367" s="22"/>
      <c r="AB367" s="22"/>
      <c r="AC367" s="22"/>
      <c r="AD367" s="22"/>
      <c r="AE367" s="22"/>
      <c r="AF367" s="22"/>
      <c r="AG367" s="22"/>
      <c r="AH367" s="22"/>
      <c r="AI367" s="22"/>
      <c r="AJ367" s="22"/>
      <c r="AK367" s="22"/>
      <c r="AL367" s="22"/>
      <c r="AM367" s="22"/>
      <c r="AN367" s="22"/>
      <c r="AO367" s="22"/>
      <c r="AP367" s="22"/>
      <c r="AQ367" s="22"/>
    </row>
    <row r="368" spans="1:43"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2"/>
      <c r="Y368" s="22"/>
      <c r="Z368" s="22"/>
      <c r="AA368" s="22"/>
      <c r="AB368" s="22"/>
      <c r="AC368" s="22"/>
      <c r="AD368" s="22"/>
      <c r="AE368" s="22"/>
      <c r="AF368" s="22"/>
      <c r="AG368" s="22"/>
      <c r="AH368" s="22"/>
      <c r="AI368" s="22"/>
      <c r="AJ368" s="22"/>
      <c r="AK368" s="22"/>
      <c r="AL368" s="22"/>
      <c r="AM368" s="22"/>
      <c r="AN368" s="22"/>
      <c r="AO368" s="22"/>
      <c r="AP368" s="22"/>
      <c r="AQ368" s="22"/>
    </row>
    <row r="369" spans="1:43"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2"/>
      <c r="Y369" s="22"/>
      <c r="Z369" s="22"/>
      <c r="AA369" s="22"/>
      <c r="AB369" s="22"/>
      <c r="AC369" s="22"/>
      <c r="AD369" s="22"/>
      <c r="AE369" s="22"/>
      <c r="AF369" s="22"/>
      <c r="AG369" s="22"/>
      <c r="AH369" s="22"/>
      <c r="AI369" s="22"/>
      <c r="AJ369" s="22"/>
      <c r="AK369" s="22"/>
      <c r="AL369" s="22"/>
      <c r="AM369" s="22"/>
      <c r="AN369" s="22"/>
      <c r="AO369" s="22"/>
      <c r="AP369" s="22"/>
      <c r="AQ369" s="22"/>
    </row>
    <row r="370" spans="1:43"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2"/>
      <c r="Y370" s="22"/>
      <c r="Z370" s="22"/>
      <c r="AA370" s="22"/>
      <c r="AB370" s="22"/>
      <c r="AC370" s="22"/>
      <c r="AD370" s="22"/>
      <c r="AE370" s="22"/>
      <c r="AF370" s="22"/>
      <c r="AG370" s="22"/>
      <c r="AH370" s="22"/>
      <c r="AI370" s="22"/>
      <c r="AJ370" s="22"/>
      <c r="AK370" s="22"/>
      <c r="AL370" s="22"/>
      <c r="AM370" s="22"/>
      <c r="AN370" s="22"/>
      <c r="AO370" s="22"/>
      <c r="AP370" s="22"/>
      <c r="AQ370" s="22"/>
    </row>
    <row r="371" spans="1:43"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2"/>
      <c r="Y371" s="22"/>
      <c r="Z371" s="22"/>
      <c r="AA371" s="22"/>
      <c r="AB371" s="22"/>
      <c r="AC371" s="22"/>
      <c r="AD371" s="22"/>
      <c r="AE371" s="22"/>
      <c r="AF371" s="22"/>
      <c r="AG371" s="22"/>
      <c r="AH371" s="22"/>
      <c r="AI371" s="22"/>
      <c r="AJ371" s="22"/>
      <c r="AK371" s="22"/>
      <c r="AL371" s="22"/>
      <c r="AM371" s="22"/>
      <c r="AN371" s="22"/>
      <c r="AO371" s="22"/>
      <c r="AP371" s="22"/>
      <c r="AQ371" s="22"/>
    </row>
    <row r="372" spans="1:43"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2"/>
      <c r="Y372" s="22"/>
      <c r="Z372" s="22"/>
      <c r="AA372" s="22"/>
      <c r="AB372" s="22"/>
      <c r="AC372" s="22"/>
      <c r="AD372" s="22"/>
      <c r="AE372" s="22"/>
      <c r="AF372" s="22"/>
      <c r="AG372" s="22"/>
      <c r="AH372" s="22"/>
      <c r="AI372" s="22"/>
      <c r="AJ372" s="22"/>
      <c r="AK372" s="22"/>
      <c r="AL372" s="22"/>
      <c r="AM372" s="22"/>
      <c r="AN372" s="22"/>
      <c r="AO372" s="22"/>
      <c r="AP372" s="22"/>
      <c r="AQ372" s="22"/>
    </row>
    <row r="373" spans="1:43"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2"/>
      <c r="Y373" s="22"/>
      <c r="Z373" s="22"/>
      <c r="AA373" s="22"/>
      <c r="AB373" s="22"/>
      <c r="AC373" s="22"/>
      <c r="AD373" s="22"/>
      <c r="AE373" s="22"/>
      <c r="AF373" s="22"/>
      <c r="AG373" s="22"/>
      <c r="AH373" s="22"/>
      <c r="AI373" s="22"/>
      <c r="AJ373" s="22"/>
      <c r="AK373" s="22"/>
      <c r="AL373" s="22"/>
      <c r="AM373" s="22"/>
      <c r="AN373" s="22"/>
      <c r="AO373" s="22"/>
      <c r="AP373" s="22"/>
      <c r="AQ373" s="22"/>
    </row>
    <row r="374" spans="1:43"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2"/>
      <c r="Y374" s="22"/>
      <c r="Z374" s="22"/>
      <c r="AA374" s="22"/>
      <c r="AB374" s="22"/>
      <c r="AC374" s="22"/>
      <c r="AD374" s="22"/>
      <c r="AE374" s="22"/>
      <c r="AF374" s="22"/>
      <c r="AG374" s="22"/>
      <c r="AH374" s="22"/>
      <c r="AI374" s="22"/>
      <c r="AJ374" s="22"/>
      <c r="AK374" s="22"/>
      <c r="AL374" s="22"/>
      <c r="AM374" s="22"/>
      <c r="AN374" s="22"/>
      <c r="AO374" s="22"/>
      <c r="AP374" s="22"/>
      <c r="AQ374" s="22"/>
    </row>
    <row r="375" spans="1:43"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2"/>
      <c r="Y375" s="22"/>
      <c r="Z375" s="22"/>
      <c r="AA375" s="22"/>
      <c r="AB375" s="22"/>
      <c r="AC375" s="22"/>
      <c r="AD375" s="22"/>
      <c r="AE375" s="22"/>
      <c r="AF375" s="22"/>
      <c r="AG375" s="22"/>
      <c r="AH375" s="22"/>
      <c r="AI375" s="22"/>
      <c r="AJ375" s="22"/>
      <c r="AK375" s="22"/>
      <c r="AL375" s="22"/>
      <c r="AM375" s="22"/>
      <c r="AN375" s="22"/>
      <c r="AO375" s="22"/>
      <c r="AP375" s="22"/>
      <c r="AQ375" s="22"/>
    </row>
    <row r="376" spans="1:43"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2"/>
      <c r="Y376" s="22"/>
      <c r="Z376" s="22"/>
      <c r="AA376" s="22"/>
      <c r="AB376" s="22"/>
      <c r="AC376" s="22"/>
      <c r="AD376" s="22"/>
      <c r="AE376" s="22"/>
      <c r="AF376" s="22"/>
      <c r="AG376" s="22"/>
      <c r="AH376" s="22"/>
      <c r="AI376" s="22"/>
      <c r="AJ376" s="22"/>
      <c r="AK376" s="22"/>
      <c r="AL376" s="22"/>
      <c r="AM376" s="22"/>
      <c r="AN376" s="22"/>
      <c r="AO376" s="22"/>
      <c r="AP376" s="22"/>
      <c r="AQ376" s="22"/>
    </row>
    <row r="377" spans="1:43"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2"/>
      <c r="Y377" s="22"/>
      <c r="Z377" s="22"/>
      <c r="AA377" s="22"/>
      <c r="AB377" s="22"/>
      <c r="AC377" s="22"/>
      <c r="AD377" s="22"/>
      <c r="AE377" s="22"/>
      <c r="AF377" s="22"/>
      <c r="AG377" s="22"/>
      <c r="AH377" s="22"/>
      <c r="AI377" s="22"/>
      <c r="AJ377" s="22"/>
      <c r="AK377" s="22"/>
      <c r="AL377" s="22"/>
      <c r="AM377" s="22"/>
      <c r="AN377" s="22"/>
      <c r="AO377" s="22"/>
      <c r="AP377" s="22"/>
      <c r="AQ377" s="22"/>
    </row>
    <row r="378" spans="1:43"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2"/>
      <c r="Y378" s="22"/>
      <c r="Z378" s="22"/>
      <c r="AA378" s="22"/>
      <c r="AB378" s="22"/>
      <c r="AC378" s="22"/>
      <c r="AD378" s="22"/>
      <c r="AE378" s="22"/>
      <c r="AF378" s="22"/>
      <c r="AG378" s="22"/>
      <c r="AH378" s="22"/>
      <c r="AI378" s="22"/>
      <c r="AJ378" s="22"/>
      <c r="AK378" s="22"/>
      <c r="AL378" s="22"/>
      <c r="AM378" s="22"/>
      <c r="AN378" s="22"/>
      <c r="AO378" s="22"/>
      <c r="AP378" s="22"/>
      <c r="AQ378" s="22"/>
    </row>
    <row r="379" spans="1:43"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2"/>
      <c r="Y379" s="22"/>
      <c r="Z379" s="22"/>
      <c r="AA379" s="22"/>
      <c r="AB379" s="22"/>
      <c r="AC379" s="22"/>
      <c r="AD379" s="22"/>
      <c r="AE379" s="22"/>
      <c r="AF379" s="22"/>
      <c r="AG379" s="22"/>
      <c r="AH379" s="22"/>
      <c r="AI379" s="22"/>
      <c r="AJ379" s="22"/>
      <c r="AK379" s="22"/>
      <c r="AL379" s="22"/>
      <c r="AM379" s="22"/>
      <c r="AN379" s="22"/>
      <c r="AO379" s="22"/>
      <c r="AP379" s="22"/>
      <c r="AQ379" s="22"/>
    </row>
    <row r="380" spans="1:43"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2"/>
      <c r="Y380" s="22"/>
      <c r="Z380" s="22"/>
      <c r="AA380" s="22"/>
      <c r="AB380" s="22"/>
      <c r="AC380" s="22"/>
      <c r="AD380" s="22"/>
      <c r="AE380" s="22"/>
      <c r="AF380" s="22"/>
      <c r="AG380" s="22"/>
      <c r="AH380" s="22"/>
      <c r="AI380" s="22"/>
      <c r="AJ380" s="22"/>
      <c r="AK380" s="22"/>
      <c r="AL380" s="22"/>
      <c r="AM380" s="22"/>
      <c r="AN380" s="22"/>
      <c r="AO380" s="22"/>
      <c r="AP380" s="22"/>
      <c r="AQ380" s="22"/>
    </row>
    <row r="381" spans="1:43"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2"/>
      <c r="Y381" s="22"/>
      <c r="Z381" s="22"/>
      <c r="AA381" s="22"/>
      <c r="AB381" s="22"/>
      <c r="AC381" s="22"/>
      <c r="AD381" s="22"/>
      <c r="AE381" s="22"/>
      <c r="AF381" s="22"/>
      <c r="AG381" s="22"/>
      <c r="AH381" s="22"/>
      <c r="AI381" s="22"/>
      <c r="AJ381" s="22"/>
      <c r="AK381" s="22"/>
      <c r="AL381" s="22"/>
      <c r="AM381" s="22"/>
      <c r="AN381" s="22"/>
      <c r="AO381" s="22"/>
      <c r="AP381" s="22"/>
      <c r="AQ381" s="22"/>
    </row>
    <row r="382" spans="1:43"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2"/>
      <c r="Y382" s="22"/>
      <c r="Z382" s="22"/>
      <c r="AA382" s="22"/>
      <c r="AB382" s="22"/>
      <c r="AC382" s="22"/>
      <c r="AD382" s="22"/>
      <c r="AE382" s="22"/>
      <c r="AF382" s="22"/>
      <c r="AG382" s="22"/>
      <c r="AH382" s="22"/>
      <c r="AI382" s="22"/>
      <c r="AJ382" s="22"/>
      <c r="AK382" s="22"/>
      <c r="AL382" s="22"/>
      <c r="AM382" s="22"/>
      <c r="AN382" s="22"/>
      <c r="AO382" s="22"/>
      <c r="AP382" s="22"/>
      <c r="AQ382" s="22"/>
    </row>
    <row r="383" spans="1:43"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2"/>
      <c r="Y383" s="22"/>
      <c r="Z383" s="22"/>
      <c r="AA383" s="22"/>
      <c r="AB383" s="22"/>
      <c r="AC383" s="22"/>
      <c r="AD383" s="22"/>
      <c r="AE383" s="22"/>
      <c r="AF383" s="22"/>
      <c r="AG383" s="22"/>
      <c r="AH383" s="22"/>
      <c r="AI383" s="22"/>
      <c r="AJ383" s="22"/>
      <c r="AK383" s="22"/>
      <c r="AL383" s="22"/>
      <c r="AM383" s="22"/>
      <c r="AN383" s="22"/>
      <c r="AO383" s="22"/>
      <c r="AP383" s="22"/>
      <c r="AQ383" s="22"/>
    </row>
    <row r="384" spans="1:43"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2"/>
      <c r="Y384" s="22"/>
      <c r="Z384" s="22"/>
      <c r="AA384" s="22"/>
      <c r="AB384" s="22"/>
      <c r="AC384" s="22"/>
      <c r="AD384" s="22"/>
      <c r="AE384" s="22"/>
      <c r="AF384" s="22"/>
      <c r="AG384" s="22"/>
      <c r="AH384" s="22"/>
      <c r="AI384" s="22"/>
      <c r="AJ384" s="22"/>
      <c r="AK384" s="22"/>
      <c r="AL384" s="22"/>
      <c r="AM384" s="22"/>
      <c r="AN384" s="22"/>
      <c r="AO384" s="22"/>
      <c r="AP384" s="22"/>
      <c r="AQ384" s="22"/>
    </row>
    <row r="385" spans="1:43"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2"/>
      <c r="Y385" s="22"/>
      <c r="Z385" s="22"/>
      <c r="AA385" s="22"/>
      <c r="AB385" s="22"/>
      <c r="AC385" s="22"/>
      <c r="AD385" s="22"/>
      <c r="AE385" s="22"/>
      <c r="AF385" s="22"/>
      <c r="AG385" s="22"/>
      <c r="AH385" s="22"/>
      <c r="AI385" s="22"/>
      <c r="AJ385" s="22"/>
      <c r="AK385" s="22"/>
      <c r="AL385" s="22"/>
      <c r="AM385" s="22"/>
      <c r="AN385" s="22"/>
      <c r="AO385" s="22"/>
      <c r="AP385" s="22"/>
      <c r="AQ385" s="22"/>
    </row>
    <row r="386" spans="1:43"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2"/>
      <c r="Y386" s="22"/>
      <c r="Z386" s="22"/>
      <c r="AA386" s="22"/>
      <c r="AB386" s="22"/>
      <c r="AC386" s="22"/>
      <c r="AD386" s="22"/>
      <c r="AE386" s="22"/>
      <c r="AF386" s="22"/>
      <c r="AG386" s="22"/>
      <c r="AH386" s="22"/>
      <c r="AI386" s="22"/>
      <c r="AJ386" s="22"/>
      <c r="AK386" s="22"/>
      <c r="AL386" s="22"/>
      <c r="AM386" s="22"/>
      <c r="AN386" s="22"/>
      <c r="AO386" s="22"/>
      <c r="AP386" s="22"/>
      <c r="AQ386" s="22"/>
    </row>
    <row r="387" spans="1:43"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2"/>
      <c r="Y387" s="22"/>
      <c r="Z387" s="22"/>
      <c r="AA387" s="22"/>
      <c r="AB387" s="22"/>
      <c r="AC387" s="22"/>
      <c r="AD387" s="22"/>
      <c r="AE387" s="22"/>
      <c r="AF387" s="22"/>
      <c r="AG387" s="22"/>
      <c r="AH387" s="22"/>
      <c r="AI387" s="22"/>
      <c r="AJ387" s="22"/>
      <c r="AK387" s="22"/>
      <c r="AL387" s="22"/>
      <c r="AM387" s="22"/>
      <c r="AN387" s="22"/>
      <c r="AO387" s="22"/>
      <c r="AP387" s="22"/>
      <c r="AQ387" s="22"/>
    </row>
    <row r="388" spans="1:43"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2"/>
      <c r="Y388" s="22"/>
      <c r="Z388" s="22"/>
      <c r="AA388" s="22"/>
      <c r="AB388" s="22"/>
      <c r="AC388" s="22"/>
      <c r="AD388" s="22"/>
      <c r="AE388" s="22"/>
      <c r="AF388" s="22"/>
      <c r="AG388" s="22"/>
      <c r="AH388" s="22"/>
      <c r="AI388" s="22"/>
      <c r="AJ388" s="22"/>
      <c r="AK388" s="22"/>
      <c r="AL388" s="22"/>
      <c r="AM388" s="22"/>
      <c r="AN388" s="22"/>
      <c r="AO388" s="22"/>
      <c r="AP388" s="22"/>
      <c r="AQ388" s="22"/>
    </row>
    <row r="389" spans="1:43"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2"/>
      <c r="Y389" s="22"/>
      <c r="Z389" s="22"/>
      <c r="AA389" s="22"/>
      <c r="AB389" s="22"/>
      <c r="AC389" s="22"/>
      <c r="AD389" s="22"/>
      <c r="AE389" s="22"/>
      <c r="AF389" s="22"/>
      <c r="AG389" s="22"/>
      <c r="AH389" s="22"/>
      <c r="AI389" s="22"/>
      <c r="AJ389" s="22"/>
      <c r="AK389" s="22"/>
      <c r="AL389" s="22"/>
      <c r="AM389" s="22"/>
      <c r="AN389" s="22"/>
      <c r="AO389" s="22"/>
      <c r="AP389" s="22"/>
      <c r="AQ389" s="22"/>
    </row>
    <row r="390" spans="1:43"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2"/>
      <c r="Y390" s="22"/>
      <c r="Z390" s="22"/>
      <c r="AA390" s="22"/>
      <c r="AB390" s="22"/>
      <c r="AC390" s="22"/>
      <c r="AD390" s="22"/>
      <c r="AE390" s="22"/>
      <c r="AF390" s="22"/>
      <c r="AG390" s="22"/>
      <c r="AH390" s="22"/>
      <c r="AI390" s="22"/>
      <c r="AJ390" s="22"/>
      <c r="AK390" s="22"/>
      <c r="AL390" s="22"/>
      <c r="AM390" s="22"/>
      <c r="AN390" s="22"/>
      <c r="AO390" s="22"/>
      <c r="AP390" s="22"/>
      <c r="AQ390" s="22"/>
    </row>
    <row r="391" spans="1:43"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2"/>
      <c r="Y391" s="22"/>
      <c r="Z391" s="22"/>
      <c r="AA391" s="22"/>
      <c r="AB391" s="22"/>
      <c r="AC391" s="22"/>
      <c r="AD391" s="22"/>
      <c r="AE391" s="22"/>
      <c r="AF391" s="22"/>
      <c r="AG391" s="22"/>
      <c r="AH391" s="22"/>
      <c r="AI391" s="22"/>
      <c r="AJ391" s="22"/>
      <c r="AK391" s="22"/>
      <c r="AL391" s="22"/>
      <c r="AM391" s="22"/>
      <c r="AN391" s="22"/>
      <c r="AO391" s="22"/>
      <c r="AP391" s="22"/>
      <c r="AQ391" s="22"/>
    </row>
    <row r="392" spans="1:43"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2"/>
      <c r="Y392" s="22"/>
      <c r="Z392" s="22"/>
      <c r="AA392" s="22"/>
      <c r="AB392" s="22"/>
      <c r="AC392" s="22"/>
      <c r="AD392" s="22"/>
      <c r="AE392" s="22"/>
      <c r="AF392" s="22"/>
      <c r="AG392" s="22"/>
      <c r="AH392" s="22"/>
      <c r="AI392" s="22"/>
      <c r="AJ392" s="22"/>
      <c r="AK392" s="22"/>
      <c r="AL392" s="22"/>
      <c r="AM392" s="22"/>
      <c r="AN392" s="22"/>
      <c r="AO392" s="22"/>
      <c r="AP392" s="22"/>
      <c r="AQ392" s="22"/>
    </row>
    <row r="393" spans="1:43"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2"/>
      <c r="Y393" s="22"/>
      <c r="Z393" s="22"/>
      <c r="AA393" s="22"/>
      <c r="AB393" s="22"/>
      <c r="AC393" s="22"/>
      <c r="AD393" s="22"/>
      <c r="AE393" s="22"/>
      <c r="AF393" s="22"/>
      <c r="AG393" s="22"/>
      <c r="AH393" s="22"/>
      <c r="AI393" s="22"/>
      <c r="AJ393" s="22"/>
      <c r="AK393" s="22"/>
      <c r="AL393" s="22"/>
      <c r="AM393" s="22"/>
      <c r="AN393" s="22"/>
      <c r="AO393" s="22"/>
      <c r="AP393" s="22"/>
      <c r="AQ393" s="22"/>
    </row>
    <row r="394" spans="1:43"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2"/>
      <c r="Y394" s="22"/>
      <c r="Z394" s="22"/>
      <c r="AA394" s="22"/>
      <c r="AB394" s="22"/>
      <c r="AC394" s="22"/>
      <c r="AD394" s="22"/>
      <c r="AE394" s="22"/>
      <c r="AF394" s="22"/>
      <c r="AG394" s="22"/>
      <c r="AH394" s="22"/>
      <c r="AI394" s="22"/>
      <c r="AJ394" s="22"/>
      <c r="AK394" s="22"/>
      <c r="AL394" s="22"/>
      <c r="AM394" s="22"/>
      <c r="AN394" s="22"/>
      <c r="AO394" s="22"/>
      <c r="AP394" s="22"/>
      <c r="AQ394" s="22"/>
    </row>
    <row r="395" spans="1:43"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2"/>
      <c r="Y395" s="22"/>
      <c r="Z395" s="22"/>
      <c r="AA395" s="22"/>
      <c r="AB395" s="22"/>
      <c r="AC395" s="22"/>
      <c r="AD395" s="22"/>
      <c r="AE395" s="22"/>
      <c r="AF395" s="22"/>
      <c r="AG395" s="22"/>
      <c r="AH395" s="22"/>
      <c r="AI395" s="22"/>
      <c r="AJ395" s="22"/>
      <c r="AK395" s="22"/>
      <c r="AL395" s="22"/>
      <c r="AM395" s="22"/>
      <c r="AN395" s="22"/>
      <c r="AO395" s="22"/>
      <c r="AP395" s="22"/>
      <c r="AQ395" s="22"/>
    </row>
    <row r="396" spans="1:43"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2"/>
      <c r="Y396" s="22"/>
      <c r="Z396" s="22"/>
      <c r="AA396" s="22"/>
      <c r="AB396" s="22"/>
      <c r="AC396" s="22"/>
      <c r="AD396" s="22"/>
      <c r="AE396" s="22"/>
      <c r="AF396" s="22"/>
      <c r="AG396" s="22"/>
      <c r="AH396" s="22"/>
      <c r="AI396" s="22"/>
      <c r="AJ396" s="22"/>
      <c r="AK396" s="22"/>
      <c r="AL396" s="22"/>
      <c r="AM396" s="22"/>
      <c r="AN396" s="22"/>
      <c r="AO396" s="22"/>
      <c r="AP396" s="22"/>
      <c r="AQ396" s="22"/>
    </row>
    <row r="397" spans="1:43"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2"/>
      <c r="Y397" s="22"/>
      <c r="Z397" s="22"/>
      <c r="AA397" s="22"/>
      <c r="AB397" s="22"/>
      <c r="AC397" s="22"/>
      <c r="AD397" s="22"/>
      <c r="AE397" s="22"/>
      <c r="AF397" s="22"/>
      <c r="AG397" s="22"/>
      <c r="AH397" s="22"/>
      <c r="AI397" s="22"/>
      <c r="AJ397" s="22"/>
      <c r="AK397" s="22"/>
      <c r="AL397" s="22"/>
      <c r="AM397" s="22"/>
      <c r="AN397" s="22"/>
      <c r="AO397" s="22"/>
      <c r="AP397" s="22"/>
      <c r="AQ397" s="22"/>
    </row>
    <row r="398" spans="1:43"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2"/>
      <c r="Y398" s="22"/>
      <c r="Z398" s="22"/>
      <c r="AA398" s="22"/>
      <c r="AB398" s="22"/>
      <c r="AC398" s="22"/>
      <c r="AD398" s="22"/>
      <c r="AE398" s="22"/>
      <c r="AF398" s="22"/>
      <c r="AG398" s="22"/>
      <c r="AH398" s="22"/>
      <c r="AI398" s="22"/>
      <c r="AJ398" s="22"/>
      <c r="AK398" s="22"/>
      <c r="AL398" s="22"/>
      <c r="AM398" s="22"/>
      <c r="AN398" s="22"/>
      <c r="AO398" s="22"/>
      <c r="AP398" s="22"/>
      <c r="AQ398" s="22"/>
    </row>
    <row r="399" spans="1:43"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2"/>
      <c r="Y399" s="22"/>
      <c r="Z399" s="22"/>
      <c r="AA399" s="22"/>
      <c r="AB399" s="22"/>
      <c r="AC399" s="22"/>
      <c r="AD399" s="22"/>
      <c r="AE399" s="22"/>
      <c r="AF399" s="22"/>
      <c r="AG399" s="22"/>
      <c r="AH399" s="22"/>
      <c r="AI399" s="22"/>
      <c r="AJ399" s="22"/>
      <c r="AK399" s="22"/>
      <c r="AL399" s="22"/>
      <c r="AM399" s="22"/>
      <c r="AN399" s="22"/>
      <c r="AO399" s="22"/>
      <c r="AP399" s="22"/>
      <c r="AQ399" s="22"/>
    </row>
    <row r="400" spans="1:43"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2"/>
      <c r="Y400" s="22"/>
      <c r="Z400" s="22"/>
      <c r="AA400" s="22"/>
      <c r="AB400" s="22"/>
      <c r="AC400" s="22"/>
      <c r="AD400" s="22"/>
      <c r="AE400" s="22"/>
      <c r="AF400" s="22"/>
      <c r="AG400" s="22"/>
      <c r="AH400" s="22"/>
      <c r="AI400" s="22"/>
      <c r="AJ400" s="22"/>
      <c r="AK400" s="22"/>
      <c r="AL400" s="22"/>
      <c r="AM400" s="22"/>
      <c r="AN400" s="22"/>
      <c r="AO400" s="22"/>
      <c r="AP400" s="22"/>
      <c r="AQ400" s="22"/>
    </row>
    <row r="401" spans="1:43"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2"/>
      <c r="Y401" s="22"/>
      <c r="Z401" s="22"/>
      <c r="AA401" s="22"/>
      <c r="AB401" s="22"/>
      <c r="AC401" s="22"/>
      <c r="AD401" s="22"/>
      <c r="AE401" s="22"/>
      <c r="AF401" s="22"/>
      <c r="AG401" s="22"/>
      <c r="AH401" s="22"/>
      <c r="AI401" s="22"/>
      <c r="AJ401" s="22"/>
      <c r="AK401" s="22"/>
      <c r="AL401" s="22"/>
      <c r="AM401" s="22"/>
      <c r="AN401" s="22"/>
      <c r="AO401" s="22"/>
      <c r="AP401" s="22"/>
      <c r="AQ401" s="22"/>
    </row>
    <row r="402" spans="1:43"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2"/>
      <c r="Y402" s="22"/>
      <c r="Z402" s="22"/>
      <c r="AA402" s="22"/>
      <c r="AB402" s="22"/>
      <c r="AC402" s="22"/>
      <c r="AD402" s="22"/>
      <c r="AE402" s="22"/>
      <c r="AF402" s="22"/>
      <c r="AG402" s="22"/>
      <c r="AH402" s="22"/>
      <c r="AI402" s="22"/>
      <c r="AJ402" s="22"/>
      <c r="AK402" s="22"/>
      <c r="AL402" s="22"/>
      <c r="AM402" s="22"/>
      <c r="AN402" s="22"/>
      <c r="AO402" s="22"/>
      <c r="AP402" s="22"/>
      <c r="AQ402" s="22"/>
    </row>
    <row r="403" spans="1:43"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2"/>
      <c r="Y403" s="22"/>
      <c r="Z403" s="22"/>
      <c r="AA403" s="22"/>
      <c r="AB403" s="22"/>
      <c r="AC403" s="22"/>
      <c r="AD403" s="22"/>
      <c r="AE403" s="22"/>
      <c r="AF403" s="22"/>
      <c r="AG403" s="22"/>
      <c r="AH403" s="22"/>
      <c r="AI403" s="22"/>
      <c r="AJ403" s="22"/>
      <c r="AK403" s="22"/>
      <c r="AL403" s="22"/>
      <c r="AM403" s="22"/>
      <c r="AN403" s="22"/>
      <c r="AO403" s="22"/>
      <c r="AP403" s="22"/>
      <c r="AQ403" s="22"/>
    </row>
    <row r="404" spans="1:43"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2"/>
      <c r="Y404" s="22"/>
      <c r="Z404" s="22"/>
      <c r="AA404" s="22"/>
      <c r="AB404" s="22"/>
      <c r="AC404" s="22"/>
      <c r="AD404" s="22"/>
      <c r="AE404" s="22"/>
      <c r="AF404" s="22"/>
      <c r="AG404" s="22"/>
      <c r="AH404" s="22"/>
      <c r="AI404" s="22"/>
      <c r="AJ404" s="22"/>
      <c r="AK404" s="22"/>
      <c r="AL404" s="22"/>
      <c r="AM404" s="22"/>
      <c r="AN404" s="22"/>
      <c r="AO404" s="22"/>
      <c r="AP404" s="22"/>
      <c r="AQ404" s="22"/>
    </row>
    <row r="405" spans="1:43"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2"/>
      <c r="Y405" s="22"/>
      <c r="Z405" s="22"/>
      <c r="AA405" s="22"/>
      <c r="AB405" s="22"/>
      <c r="AC405" s="22"/>
      <c r="AD405" s="22"/>
      <c r="AE405" s="22"/>
      <c r="AF405" s="22"/>
      <c r="AG405" s="22"/>
      <c r="AH405" s="22"/>
      <c r="AI405" s="22"/>
      <c r="AJ405" s="22"/>
      <c r="AK405" s="22"/>
      <c r="AL405" s="22"/>
      <c r="AM405" s="22"/>
      <c r="AN405" s="22"/>
      <c r="AO405" s="22"/>
      <c r="AP405" s="22"/>
      <c r="AQ405" s="22"/>
    </row>
    <row r="406" spans="1:43"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2"/>
      <c r="Y406" s="22"/>
      <c r="Z406" s="22"/>
      <c r="AA406" s="22"/>
      <c r="AB406" s="22"/>
      <c r="AC406" s="22"/>
      <c r="AD406" s="22"/>
      <c r="AE406" s="22"/>
      <c r="AF406" s="22"/>
      <c r="AG406" s="22"/>
      <c r="AH406" s="22"/>
      <c r="AI406" s="22"/>
      <c r="AJ406" s="22"/>
      <c r="AK406" s="22"/>
      <c r="AL406" s="22"/>
      <c r="AM406" s="22"/>
      <c r="AN406" s="22"/>
      <c r="AO406" s="22"/>
      <c r="AP406" s="22"/>
      <c r="AQ406" s="22"/>
    </row>
    <row r="407" spans="1:43"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2"/>
      <c r="Y407" s="22"/>
      <c r="Z407" s="22"/>
      <c r="AA407" s="22"/>
      <c r="AB407" s="22"/>
      <c r="AC407" s="22"/>
      <c r="AD407" s="22"/>
      <c r="AE407" s="22"/>
      <c r="AF407" s="22"/>
      <c r="AG407" s="22"/>
      <c r="AH407" s="22"/>
      <c r="AI407" s="22"/>
      <c r="AJ407" s="22"/>
      <c r="AK407" s="22"/>
      <c r="AL407" s="22"/>
      <c r="AM407" s="22"/>
      <c r="AN407" s="22"/>
      <c r="AO407" s="22"/>
      <c r="AP407" s="22"/>
      <c r="AQ407" s="22"/>
    </row>
    <row r="408" spans="1:43"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2"/>
      <c r="Y408" s="22"/>
      <c r="Z408" s="22"/>
      <c r="AA408" s="22"/>
      <c r="AB408" s="22"/>
      <c r="AC408" s="22"/>
      <c r="AD408" s="22"/>
      <c r="AE408" s="22"/>
      <c r="AF408" s="22"/>
      <c r="AG408" s="22"/>
      <c r="AH408" s="22"/>
      <c r="AI408" s="22"/>
      <c r="AJ408" s="22"/>
      <c r="AK408" s="22"/>
      <c r="AL408" s="22"/>
      <c r="AM408" s="22"/>
      <c r="AN408" s="22"/>
      <c r="AO408" s="22"/>
      <c r="AP408" s="22"/>
      <c r="AQ408" s="22"/>
    </row>
    <row r="409" spans="1:43"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2"/>
      <c r="Y409" s="22"/>
      <c r="Z409" s="22"/>
      <c r="AA409" s="22"/>
      <c r="AB409" s="22"/>
      <c r="AC409" s="22"/>
      <c r="AD409" s="22"/>
      <c r="AE409" s="22"/>
      <c r="AF409" s="22"/>
      <c r="AG409" s="22"/>
      <c r="AH409" s="22"/>
      <c r="AI409" s="22"/>
      <c r="AJ409" s="22"/>
      <c r="AK409" s="22"/>
      <c r="AL409" s="22"/>
      <c r="AM409" s="22"/>
      <c r="AN409" s="22"/>
      <c r="AO409" s="22"/>
      <c r="AP409" s="22"/>
      <c r="AQ409" s="22"/>
    </row>
    <row r="410" spans="1:43"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2"/>
      <c r="Y410" s="22"/>
      <c r="Z410" s="22"/>
      <c r="AA410" s="22"/>
      <c r="AB410" s="22"/>
      <c r="AC410" s="22"/>
      <c r="AD410" s="22"/>
      <c r="AE410" s="22"/>
      <c r="AF410" s="22"/>
      <c r="AG410" s="22"/>
      <c r="AH410" s="22"/>
      <c r="AI410" s="22"/>
      <c r="AJ410" s="22"/>
      <c r="AK410" s="22"/>
      <c r="AL410" s="22"/>
      <c r="AM410" s="22"/>
      <c r="AN410" s="22"/>
      <c r="AO410" s="22"/>
      <c r="AP410" s="22"/>
      <c r="AQ410" s="22"/>
    </row>
    <row r="411" spans="1:43"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2"/>
      <c r="Y411" s="22"/>
      <c r="Z411" s="22"/>
      <c r="AA411" s="22"/>
      <c r="AB411" s="22"/>
      <c r="AC411" s="22"/>
      <c r="AD411" s="22"/>
      <c r="AE411" s="22"/>
      <c r="AF411" s="22"/>
      <c r="AG411" s="22"/>
      <c r="AH411" s="22"/>
      <c r="AI411" s="22"/>
      <c r="AJ411" s="22"/>
      <c r="AK411" s="22"/>
      <c r="AL411" s="22"/>
      <c r="AM411" s="22"/>
      <c r="AN411" s="22"/>
      <c r="AO411" s="22"/>
      <c r="AP411" s="22"/>
      <c r="AQ411" s="22"/>
    </row>
    <row r="412" spans="1:43"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2"/>
      <c r="Y412" s="22"/>
      <c r="Z412" s="22"/>
      <c r="AA412" s="22"/>
      <c r="AB412" s="22"/>
      <c r="AC412" s="22"/>
      <c r="AD412" s="22"/>
      <c r="AE412" s="22"/>
      <c r="AF412" s="22"/>
      <c r="AG412" s="22"/>
      <c r="AH412" s="22"/>
      <c r="AI412" s="22"/>
      <c r="AJ412" s="22"/>
      <c r="AK412" s="22"/>
      <c r="AL412" s="22"/>
      <c r="AM412" s="22"/>
      <c r="AN412" s="22"/>
      <c r="AO412" s="22"/>
      <c r="AP412" s="22"/>
      <c r="AQ412" s="22"/>
    </row>
    <row r="413" spans="1:43"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2"/>
      <c r="Y413" s="22"/>
      <c r="Z413" s="22"/>
      <c r="AA413" s="22"/>
      <c r="AB413" s="22"/>
      <c r="AC413" s="22"/>
      <c r="AD413" s="22"/>
      <c r="AE413" s="22"/>
      <c r="AF413" s="22"/>
      <c r="AG413" s="22"/>
      <c r="AH413" s="22"/>
      <c r="AI413" s="22"/>
      <c r="AJ413" s="22"/>
      <c r="AK413" s="22"/>
      <c r="AL413" s="22"/>
      <c r="AM413" s="22"/>
      <c r="AN413" s="22"/>
      <c r="AO413" s="22"/>
      <c r="AP413" s="22"/>
      <c r="AQ413" s="22"/>
    </row>
    <row r="414" spans="1:43"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2"/>
      <c r="Y414" s="22"/>
      <c r="Z414" s="22"/>
      <c r="AA414" s="22"/>
      <c r="AB414" s="22"/>
      <c r="AC414" s="22"/>
      <c r="AD414" s="22"/>
      <c r="AE414" s="22"/>
      <c r="AF414" s="22"/>
      <c r="AG414" s="22"/>
      <c r="AH414" s="22"/>
      <c r="AI414" s="22"/>
      <c r="AJ414" s="22"/>
      <c r="AK414" s="22"/>
      <c r="AL414" s="22"/>
      <c r="AM414" s="22"/>
      <c r="AN414" s="22"/>
      <c r="AO414" s="22"/>
      <c r="AP414" s="22"/>
      <c r="AQ414" s="22"/>
    </row>
    <row r="415" spans="1:43"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2"/>
      <c r="Y415" s="22"/>
      <c r="Z415" s="22"/>
      <c r="AA415" s="22"/>
      <c r="AB415" s="22"/>
      <c r="AC415" s="22"/>
      <c r="AD415" s="22"/>
      <c r="AE415" s="22"/>
      <c r="AF415" s="22"/>
      <c r="AG415" s="22"/>
      <c r="AH415" s="22"/>
      <c r="AI415" s="22"/>
      <c r="AJ415" s="22"/>
      <c r="AK415" s="22"/>
      <c r="AL415" s="22"/>
      <c r="AM415" s="22"/>
      <c r="AN415" s="22"/>
      <c r="AO415" s="22"/>
      <c r="AP415" s="22"/>
      <c r="AQ415" s="22"/>
    </row>
    <row r="416" spans="1:43"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2"/>
      <c r="Y416" s="22"/>
      <c r="Z416" s="22"/>
      <c r="AA416" s="22"/>
      <c r="AB416" s="22"/>
      <c r="AC416" s="22"/>
      <c r="AD416" s="22"/>
      <c r="AE416" s="22"/>
      <c r="AF416" s="22"/>
      <c r="AG416" s="22"/>
      <c r="AH416" s="22"/>
      <c r="AI416" s="22"/>
      <c r="AJ416" s="22"/>
      <c r="AK416" s="22"/>
      <c r="AL416" s="22"/>
      <c r="AM416" s="22"/>
      <c r="AN416" s="22"/>
      <c r="AO416" s="22"/>
      <c r="AP416" s="22"/>
      <c r="AQ416" s="22"/>
    </row>
    <row r="417" spans="1:43"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2"/>
      <c r="Y417" s="22"/>
      <c r="Z417" s="22"/>
      <c r="AA417" s="22"/>
      <c r="AB417" s="22"/>
      <c r="AC417" s="22"/>
      <c r="AD417" s="22"/>
      <c r="AE417" s="22"/>
      <c r="AF417" s="22"/>
      <c r="AG417" s="22"/>
      <c r="AH417" s="22"/>
      <c r="AI417" s="22"/>
      <c r="AJ417" s="22"/>
      <c r="AK417" s="22"/>
      <c r="AL417" s="22"/>
      <c r="AM417" s="22"/>
      <c r="AN417" s="22"/>
      <c r="AO417" s="22"/>
      <c r="AP417" s="22"/>
      <c r="AQ417" s="22"/>
    </row>
    <row r="418" spans="1:43"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2"/>
      <c r="Y418" s="22"/>
      <c r="Z418" s="22"/>
      <c r="AA418" s="22"/>
      <c r="AB418" s="22"/>
      <c r="AC418" s="22"/>
      <c r="AD418" s="22"/>
      <c r="AE418" s="22"/>
      <c r="AF418" s="22"/>
      <c r="AG418" s="22"/>
      <c r="AH418" s="22"/>
      <c r="AI418" s="22"/>
      <c r="AJ418" s="22"/>
      <c r="AK418" s="22"/>
      <c r="AL418" s="22"/>
      <c r="AM418" s="22"/>
      <c r="AN418" s="22"/>
      <c r="AO418" s="22"/>
      <c r="AP418" s="22"/>
      <c r="AQ418" s="22"/>
    </row>
    <row r="419" spans="1:43"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2"/>
      <c r="Y419" s="22"/>
      <c r="Z419" s="22"/>
      <c r="AA419" s="22"/>
      <c r="AB419" s="22"/>
      <c r="AC419" s="22"/>
      <c r="AD419" s="22"/>
      <c r="AE419" s="22"/>
      <c r="AF419" s="22"/>
      <c r="AG419" s="22"/>
      <c r="AH419" s="22"/>
      <c r="AI419" s="22"/>
      <c r="AJ419" s="22"/>
      <c r="AK419" s="22"/>
      <c r="AL419" s="22"/>
      <c r="AM419" s="22"/>
      <c r="AN419" s="22"/>
      <c r="AO419" s="22"/>
      <c r="AP419" s="22"/>
      <c r="AQ419" s="22"/>
    </row>
    <row r="420" spans="1:43"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2"/>
      <c r="Y420" s="22"/>
      <c r="Z420" s="22"/>
      <c r="AA420" s="22"/>
      <c r="AB420" s="22"/>
      <c r="AC420" s="22"/>
      <c r="AD420" s="22"/>
      <c r="AE420" s="22"/>
      <c r="AF420" s="22"/>
      <c r="AG420" s="22"/>
      <c r="AH420" s="22"/>
      <c r="AI420" s="22"/>
      <c r="AJ420" s="22"/>
      <c r="AK420" s="22"/>
      <c r="AL420" s="22"/>
      <c r="AM420" s="22"/>
      <c r="AN420" s="22"/>
      <c r="AO420" s="22"/>
      <c r="AP420" s="22"/>
      <c r="AQ420" s="22"/>
    </row>
    <row r="421" spans="1:43"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2"/>
      <c r="Y421" s="22"/>
      <c r="Z421" s="22"/>
      <c r="AA421" s="22"/>
      <c r="AB421" s="22"/>
      <c r="AC421" s="22"/>
      <c r="AD421" s="22"/>
      <c r="AE421" s="22"/>
      <c r="AF421" s="22"/>
      <c r="AG421" s="22"/>
      <c r="AH421" s="22"/>
      <c r="AI421" s="22"/>
      <c r="AJ421" s="22"/>
      <c r="AK421" s="22"/>
      <c r="AL421" s="22"/>
      <c r="AM421" s="22"/>
      <c r="AN421" s="22"/>
      <c r="AO421" s="22"/>
      <c r="AP421" s="22"/>
      <c r="AQ421" s="22"/>
    </row>
    <row r="422" spans="1:43"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2"/>
      <c r="Y422" s="22"/>
      <c r="Z422" s="22"/>
      <c r="AA422" s="22"/>
      <c r="AB422" s="22"/>
      <c r="AC422" s="22"/>
      <c r="AD422" s="22"/>
      <c r="AE422" s="22"/>
      <c r="AF422" s="22"/>
      <c r="AG422" s="22"/>
      <c r="AH422" s="22"/>
      <c r="AI422" s="22"/>
      <c r="AJ422" s="22"/>
      <c r="AK422" s="22"/>
      <c r="AL422" s="22"/>
      <c r="AM422" s="22"/>
      <c r="AN422" s="22"/>
      <c r="AO422" s="22"/>
      <c r="AP422" s="22"/>
      <c r="AQ422" s="22"/>
    </row>
    <row r="423" spans="1:43"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2"/>
      <c r="Y423" s="22"/>
      <c r="Z423" s="22"/>
      <c r="AA423" s="22"/>
      <c r="AB423" s="22"/>
      <c r="AC423" s="22"/>
      <c r="AD423" s="22"/>
      <c r="AE423" s="22"/>
      <c r="AF423" s="22"/>
      <c r="AG423" s="22"/>
      <c r="AH423" s="22"/>
      <c r="AI423" s="22"/>
      <c r="AJ423" s="22"/>
      <c r="AK423" s="22"/>
      <c r="AL423" s="22"/>
      <c r="AM423" s="22"/>
      <c r="AN423" s="22"/>
      <c r="AO423" s="22"/>
      <c r="AP423" s="22"/>
      <c r="AQ423" s="22"/>
    </row>
    <row r="424" spans="1:43"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2"/>
      <c r="Y424" s="22"/>
      <c r="Z424" s="22"/>
      <c r="AA424" s="22"/>
      <c r="AB424" s="22"/>
      <c r="AC424" s="22"/>
      <c r="AD424" s="22"/>
      <c r="AE424" s="22"/>
      <c r="AF424" s="22"/>
      <c r="AG424" s="22"/>
      <c r="AH424" s="22"/>
      <c r="AI424" s="22"/>
      <c r="AJ424" s="22"/>
      <c r="AK424" s="22"/>
      <c r="AL424" s="22"/>
      <c r="AM424" s="22"/>
      <c r="AN424" s="22"/>
      <c r="AO424" s="22"/>
      <c r="AP424" s="22"/>
      <c r="AQ424" s="22"/>
    </row>
    <row r="425" spans="1:43"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2"/>
      <c r="Y425" s="22"/>
      <c r="Z425" s="22"/>
      <c r="AA425" s="22"/>
      <c r="AB425" s="22"/>
      <c r="AC425" s="22"/>
      <c r="AD425" s="22"/>
      <c r="AE425" s="22"/>
      <c r="AF425" s="22"/>
      <c r="AG425" s="22"/>
      <c r="AH425" s="22"/>
      <c r="AI425" s="22"/>
      <c r="AJ425" s="22"/>
      <c r="AK425" s="22"/>
      <c r="AL425" s="22"/>
      <c r="AM425" s="22"/>
      <c r="AN425" s="22"/>
      <c r="AO425" s="22"/>
      <c r="AP425" s="22"/>
      <c r="AQ425" s="22"/>
    </row>
    <row r="426" spans="1:43"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2"/>
      <c r="Y426" s="22"/>
      <c r="Z426" s="22"/>
      <c r="AA426" s="22"/>
      <c r="AB426" s="22"/>
      <c r="AC426" s="22"/>
      <c r="AD426" s="22"/>
      <c r="AE426" s="22"/>
      <c r="AF426" s="22"/>
      <c r="AG426" s="22"/>
      <c r="AH426" s="22"/>
      <c r="AI426" s="22"/>
      <c r="AJ426" s="22"/>
      <c r="AK426" s="22"/>
      <c r="AL426" s="22"/>
      <c r="AM426" s="22"/>
      <c r="AN426" s="22"/>
      <c r="AO426" s="22"/>
      <c r="AP426" s="22"/>
      <c r="AQ426" s="22"/>
    </row>
    <row r="427" spans="1:43"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2"/>
      <c r="Y427" s="22"/>
      <c r="Z427" s="22"/>
      <c r="AA427" s="22"/>
      <c r="AB427" s="22"/>
      <c r="AC427" s="22"/>
      <c r="AD427" s="22"/>
      <c r="AE427" s="22"/>
      <c r="AF427" s="22"/>
      <c r="AG427" s="22"/>
      <c r="AH427" s="22"/>
      <c r="AI427" s="22"/>
      <c r="AJ427" s="22"/>
      <c r="AK427" s="22"/>
      <c r="AL427" s="22"/>
      <c r="AM427" s="22"/>
      <c r="AN427" s="22"/>
      <c r="AO427" s="22"/>
      <c r="AP427" s="22"/>
      <c r="AQ427" s="22"/>
    </row>
    <row r="428" spans="1:43"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2"/>
      <c r="Y428" s="22"/>
      <c r="Z428" s="22"/>
      <c r="AA428" s="22"/>
      <c r="AB428" s="22"/>
      <c r="AC428" s="22"/>
      <c r="AD428" s="22"/>
      <c r="AE428" s="22"/>
      <c r="AF428" s="22"/>
      <c r="AG428" s="22"/>
      <c r="AH428" s="22"/>
      <c r="AI428" s="22"/>
      <c r="AJ428" s="22"/>
      <c r="AK428" s="22"/>
      <c r="AL428" s="22"/>
      <c r="AM428" s="22"/>
      <c r="AN428" s="22"/>
      <c r="AO428" s="22"/>
      <c r="AP428" s="22"/>
      <c r="AQ428" s="22"/>
    </row>
    <row r="429" spans="1:43"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2"/>
      <c r="Y429" s="22"/>
      <c r="Z429" s="22"/>
      <c r="AA429" s="22"/>
      <c r="AB429" s="22"/>
      <c r="AC429" s="22"/>
      <c r="AD429" s="22"/>
      <c r="AE429" s="22"/>
      <c r="AF429" s="22"/>
      <c r="AG429" s="22"/>
      <c r="AH429" s="22"/>
      <c r="AI429" s="22"/>
      <c r="AJ429" s="22"/>
      <c r="AK429" s="22"/>
      <c r="AL429" s="22"/>
      <c r="AM429" s="22"/>
      <c r="AN429" s="22"/>
      <c r="AO429" s="22"/>
      <c r="AP429" s="22"/>
      <c r="AQ429" s="22"/>
    </row>
    <row r="430" spans="1:43"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2"/>
      <c r="Y430" s="22"/>
      <c r="Z430" s="22"/>
      <c r="AA430" s="22"/>
      <c r="AB430" s="22"/>
      <c r="AC430" s="22"/>
      <c r="AD430" s="22"/>
      <c r="AE430" s="22"/>
      <c r="AF430" s="22"/>
      <c r="AG430" s="22"/>
      <c r="AH430" s="22"/>
      <c r="AI430" s="22"/>
      <c r="AJ430" s="22"/>
      <c r="AK430" s="22"/>
      <c r="AL430" s="22"/>
      <c r="AM430" s="22"/>
      <c r="AN430" s="22"/>
      <c r="AO430" s="22"/>
      <c r="AP430" s="22"/>
      <c r="AQ430" s="22"/>
    </row>
    <row r="431" spans="1:43"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2"/>
      <c r="Y431" s="22"/>
      <c r="Z431" s="22"/>
      <c r="AA431" s="22"/>
      <c r="AB431" s="22"/>
      <c r="AC431" s="22"/>
      <c r="AD431" s="22"/>
      <c r="AE431" s="22"/>
      <c r="AF431" s="22"/>
      <c r="AG431" s="22"/>
      <c r="AH431" s="22"/>
      <c r="AI431" s="22"/>
      <c r="AJ431" s="22"/>
      <c r="AK431" s="22"/>
      <c r="AL431" s="22"/>
      <c r="AM431" s="22"/>
      <c r="AN431" s="22"/>
      <c r="AO431" s="22"/>
      <c r="AP431" s="22"/>
      <c r="AQ431" s="22"/>
    </row>
    <row r="432" spans="1:43"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2"/>
      <c r="Y432" s="22"/>
      <c r="Z432" s="22"/>
      <c r="AA432" s="22"/>
      <c r="AB432" s="22"/>
      <c r="AC432" s="22"/>
      <c r="AD432" s="22"/>
      <c r="AE432" s="22"/>
      <c r="AF432" s="22"/>
      <c r="AG432" s="22"/>
      <c r="AH432" s="22"/>
      <c r="AI432" s="22"/>
      <c r="AJ432" s="22"/>
      <c r="AK432" s="22"/>
      <c r="AL432" s="22"/>
      <c r="AM432" s="22"/>
      <c r="AN432" s="22"/>
      <c r="AO432" s="22"/>
      <c r="AP432" s="22"/>
      <c r="AQ432" s="22"/>
    </row>
    <row r="433" spans="1:43"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2"/>
      <c r="Y433" s="22"/>
      <c r="Z433" s="22"/>
      <c r="AA433" s="22"/>
      <c r="AB433" s="22"/>
      <c r="AC433" s="22"/>
      <c r="AD433" s="22"/>
      <c r="AE433" s="22"/>
      <c r="AF433" s="22"/>
      <c r="AG433" s="22"/>
      <c r="AH433" s="22"/>
      <c r="AI433" s="22"/>
      <c r="AJ433" s="22"/>
      <c r="AK433" s="22"/>
      <c r="AL433" s="22"/>
      <c r="AM433" s="22"/>
      <c r="AN433" s="22"/>
      <c r="AO433" s="22"/>
      <c r="AP433" s="22"/>
      <c r="AQ433" s="22"/>
    </row>
    <row r="434" spans="1:43"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2"/>
      <c r="Y434" s="22"/>
      <c r="Z434" s="22"/>
      <c r="AA434" s="22"/>
      <c r="AB434" s="22"/>
      <c r="AC434" s="22"/>
      <c r="AD434" s="22"/>
      <c r="AE434" s="22"/>
      <c r="AF434" s="22"/>
      <c r="AG434" s="22"/>
      <c r="AH434" s="22"/>
      <c r="AI434" s="22"/>
      <c r="AJ434" s="22"/>
      <c r="AK434" s="22"/>
      <c r="AL434" s="22"/>
      <c r="AM434" s="22"/>
      <c r="AN434" s="22"/>
      <c r="AO434" s="22"/>
      <c r="AP434" s="22"/>
      <c r="AQ434" s="22"/>
    </row>
    <row r="435" spans="1:43"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2"/>
      <c r="Y435" s="22"/>
      <c r="Z435" s="22"/>
      <c r="AA435" s="22"/>
      <c r="AB435" s="22"/>
      <c r="AC435" s="22"/>
      <c r="AD435" s="22"/>
      <c r="AE435" s="22"/>
      <c r="AF435" s="22"/>
      <c r="AG435" s="22"/>
      <c r="AH435" s="22"/>
      <c r="AI435" s="22"/>
      <c r="AJ435" s="22"/>
      <c r="AK435" s="22"/>
      <c r="AL435" s="22"/>
      <c r="AM435" s="22"/>
      <c r="AN435" s="22"/>
      <c r="AO435" s="22"/>
      <c r="AP435" s="22"/>
      <c r="AQ435" s="22"/>
    </row>
    <row r="436" spans="1:43"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2"/>
      <c r="Y436" s="22"/>
      <c r="Z436" s="22"/>
      <c r="AA436" s="22"/>
      <c r="AB436" s="22"/>
      <c r="AC436" s="22"/>
      <c r="AD436" s="22"/>
      <c r="AE436" s="22"/>
      <c r="AF436" s="22"/>
      <c r="AG436" s="22"/>
      <c r="AH436" s="22"/>
      <c r="AI436" s="22"/>
      <c r="AJ436" s="22"/>
      <c r="AK436" s="22"/>
      <c r="AL436" s="22"/>
      <c r="AM436" s="22"/>
      <c r="AN436" s="22"/>
      <c r="AO436" s="22"/>
      <c r="AP436" s="22"/>
      <c r="AQ436" s="22"/>
    </row>
    <row r="437" spans="1:43"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2"/>
      <c r="Y437" s="22"/>
      <c r="Z437" s="22"/>
      <c r="AA437" s="22"/>
      <c r="AB437" s="22"/>
      <c r="AC437" s="22"/>
      <c r="AD437" s="22"/>
      <c r="AE437" s="22"/>
      <c r="AF437" s="22"/>
      <c r="AG437" s="22"/>
      <c r="AH437" s="22"/>
      <c r="AI437" s="22"/>
      <c r="AJ437" s="22"/>
      <c r="AK437" s="22"/>
      <c r="AL437" s="22"/>
      <c r="AM437" s="22"/>
      <c r="AN437" s="22"/>
      <c r="AO437" s="22"/>
      <c r="AP437" s="22"/>
      <c r="AQ437" s="22"/>
    </row>
    <row r="438" spans="1:43"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2"/>
      <c r="Y438" s="22"/>
      <c r="Z438" s="22"/>
      <c r="AA438" s="22"/>
      <c r="AB438" s="22"/>
      <c r="AC438" s="22"/>
      <c r="AD438" s="22"/>
      <c r="AE438" s="22"/>
      <c r="AF438" s="22"/>
      <c r="AG438" s="22"/>
      <c r="AH438" s="22"/>
      <c r="AI438" s="22"/>
      <c r="AJ438" s="22"/>
      <c r="AK438" s="22"/>
      <c r="AL438" s="22"/>
      <c r="AM438" s="22"/>
      <c r="AN438" s="22"/>
      <c r="AO438" s="22"/>
      <c r="AP438" s="22"/>
      <c r="AQ438" s="22"/>
    </row>
    <row r="439" spans="1:43"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2"/>
      <c r="Y439" s="22"/>
      <c r="Z439" s="22"/>
      <c r="AA439" s="22"/>
      <c r="AB439" s="22"/>
      <c r="AC439" s="22"/>
      <c r="AD439" s="22"/>
      <c r="AE439" s="22"/>
      <c r="AF439" s="22"/>
      <c r="AG439" s="22"/>
      <c r="AH439" s="22"/>
      <c r="AI439" s="22"/>
      <c r="AJ439" s="22"/>
      <c r="AK439" s="22"/>
      <c r="AL439" s="22"/>
      <c r="AM439" s="22"/>
      <c r="AN439" s="22"/>
      <c r="AO439" s="22"/>
      <c r="AP439" s="22"/>
      <c r="AQ439" s="22"/>
    </row>
    <row r="440" spans="1:43"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2"/>
      <c r="Y440" s="22"/>
      <c r="Z440" s="22"/>
      <c r="AA440" s="22"/>
      <c r="AB440" s="22"/>
      <c r="AC440" s="22"/>
      <c r="AD440" s="22"/>
      <c r="AE440" s="22"/>
      <c r="AF440" s="22"/>
      <c r="AG440" s="22"/>
      <c r="AH440" s="22"/>
      <c r="AI440" s="22"/>
      <c r="AJ440" s="22"/>
      <c r="AK440" s="22"/>
      <c r="AL440" s="22"/>
      <c r="AM440" s="22"/>
      <c r="AN440" s="22"/>
      <c r="AO440" s="22"/>
      <c r="AP440" s="22"/>
      <c r="AQ440" s="22"/>
    </row>
    <row r="441" spans="1:43"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2"/>
      <c r="Y441" s="22"/>
      <c r="Z441" s="22"/>
      <c r="AA441" s="22"/>
      <c r="AB441" s="22"/>
      <c r="AC441" s="22"/>
      <c r="AD441" s="22"/>
      <c r="AE441" s="22"/>
      <c r="AF441" s="22"/>
      <c r="AG441" s="22"/>
      <c r="AH441" s="22"/>
      <c r="AI441" s="22"/>
      <c r="AJ441" s="22"/>
      <c r="AK441" s="22"/>
      <c r="AL441" s="22"/>
      <c r="AM441" s="22"/>
      <c r="AN441" s="22"/>
      <c r="AO441" s="22"/>
      <c r="AP441" s="22"/>
      <c r="AQ441" s="22"/>
    </row>
    <row r="442" spans="1:43"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2"/>
      <c r="Y442" s="22"/>
      <c r="Z442" s="22"/>
      <c r="AA442" s="22"/>
      <c r="AB442" s="22"/>
      <c r="AC442" s="22"/>
      <c r="AD442" s="22"/>
      <c r="AE442" s="22"/>
      <c r="AF442" s="22"/>
      <c r="AG442" s="22"/>
      <c r="AH442" s="22"/>
      <c r="AI442" s="22"/>
      <c r="AJ442" s="22"/>
      <c r="AK442" s="22"/>
      <c r="AL442" s="22"/>
      <c r="AM442" s="22"/>
      <c r="AN442" s="22"/>
      <c r="AO442" s="22"/>
      <c r="AP442" s="22"/>
      <c r="AQ442" s="22"/>
    </row>
    <row r="443" spans="1:43"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2"/>
      <c r="Y443" s="22"/>
      <c r="Z443" s="22"/>
      <c r="AA443" s="22"/>
      <c r="AB443" s="22"/>
      <c r="AC443" s="22"/>
      <c r="AD443" s="22"/>
      <c r="AE443" s="22"/>
      <c r="AF443" s="22"/>
      <c r="AG443" s="22"/>
      <c r="AH443" s="22"/>
      <c r="AI443" s="22"/>
      <c r="AJ443" s="22"/>
      <c r="AK443" s="22"/>
      <c r="AL443" s="22"/>
      <c r="AM443" s="22"/>
      <c r="AN443" s="22"/>
      <c r="AO443" s="22"/>
      <c r="AP443" s="22"/>
      <c r="AQ443" s="22"/>
    </row>
    <row r="444" spans="1:43"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2"/>
      <c r="Y444" s="22"/>
      <c r="Z444" s="22"/>
      <c r="AA444" s="22"/>
      <c r="AB444" s="22"/>
      <c r="AC444" s="22"/>
      <c r="AD444" s="22"/>
      <c r="AE444" s="22"/>
      <c r="AF444" s="22"/>
      <c r="AG444" s="22"/>
      <c r="AH444" s="22"/>
      <c r="AI444" s="22"/>
      <c r="AJ444" s="22"/>
      <c r="AK444" s="22"/>
      <c r="AL444" s="22"/>
      <c r="AM444" s="22"/>
      <c r="AN444" s="22"/>
      <c r="AO444" s="22"/>
      <c r="AP444" s="22"/>
      <c r="AQ444" s="22"/>
    </row>
    <row r="445" spans="1:43"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2"/>
      <c r="Y445" s="22"/>
      <c r="Z445" s="22"/>
      <c r="AA445" s="22"/>
      <c r="AB445" s="22"/>
      <c r="AC445" s="22"/>
      <c r="AD445" s="22"/>
      <c r="AE445" s="22"/>
      <c r="AF445" s="22"/>
      <c r="AG445" s="22"/>
      <c r="AH445" s="22"/>
      <c r="AI445" s="22"/>
      <c r="AJ445" s="22"/>
      <c r="AK445" s="22"/>
      <c r="AL445" s="22"/>
      <c r="AM445" s="22"/>
      <c r="AN445" s="22"/>
      <c r="AO445" s="22"/>
      <c r="AP445" s="22"/>
      <c r="AQ445" s="22"/>
    </row>
    <row r="446" spans="1:43"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2"/>
      <c r="Y446" s="22"/>
      <c r="Z446" s="22"/>
      <c r="AA446" s="22"/>
      <c r="AB446" s="22"/>
      <c r="AC446" s="22"/>
      <c r="AD446" s="22"/>
      <c r="AE446" s="22"/>
      <c r="AF446" s="22"/>
      <c r="AG446" s="22"/>
      <c r="AH446" s="22"/>
      <c r="AI446" s="22"/>
      <c r="AJ446" s="22"/>
      <c r="AK446" s="22"/>
      <c r="AL446" s="22"/>
      <c r="AM446" s="22"/>
      <c r="AN446" s="22"/>
      <c r="AO446" s="22"/>
      <c r="AP446" s="22"/>
      <c r="AQ446" s="22"/>
    </row>
    <row r="447" spans="1:43"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2"/>
      <c r="Y447" s="22"/>
      <c r="Z447" s="22"/>
      <c r="AA447" s="22"/>
      <c r="AB447" s="22"/>
      <c r="AC447" s="22"/>
      <c r="AD447" s="22"/>
      <c r="AE447" s="22"/>
      <c r="AF447" s="22"/>
      <c r="AG447" s="22"/>
      <c r="AH447" s="22"/>
      <c r="AI447" s="22"/>
      <c r="AJ447" s="22"/>
      <c r="AK447" s="22"/>
      <c r="AL447" s="22"/>
      <c r="AM447" s="22"/>
      <c r="AN447" s="22"/>
      <c r="AO447" s="22"/>
      <c r="AP447" s="22"/>
      <c r="AQ447" s="22"/>
    </row>
    <row r="448" spans="1:43"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2"/>
      <c r="Y448" s="22"/>
      <c r="Z448" s="22"/>
      <c r="AA448" s="22"/>
      <c r="AB448" s="22"/>
      <c r="AC448" s="22"/>
      <c r="AD448" s="22"/>
      <c r="AE448" s="22"/>
      <c r="AF448" s="22"/>
      <c r="AG448" s="22"/>
      <c r="AH448" s="22"/>
      <c r="AI448" s="22"/>
      <c r="AJ448" s="22"/>
      <c r="AK448" s="22"/>
      <c r="AL448" s="22"/>
      <c r="AM448" s="22"/>
      <c r="AN448" s="22"/>
      <c r="AO448" s="22"/>
      <c r="AP448" s="22"/>
      <c r="AQ448" s="22"/>
    </row>
    <row r="449" spans="1:43"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2"/>
      <c r="Y449" s="22"/>
      <c r="Z449" s="22"/>
      <c r="AA449" s="22"/>
      <c r="AB449" s="22"/>
      <c r="AC449" s="22"/>
      <c r="AD449" s="22"/>
      <c r="AE449" s="22"/>
      <c r="AF449" s="22"/>
      <c r="AG449" s="22"/>
      <c r="AH449" s="22"/>
      <c r="AI449" s="22"/>
      <c r="AJ449" s="22"/>
      <c r="AK449" s="22"/>
      <c r="AL449" s="22"/>
      <c r="AM449" s="22"/>
      <c r="AN449" s="22"/>
      <c r="AO449" s="22"/>
      <c r="AP449" s="22"/>
      <c r="AQ449" s="22"/>
    </row>
    <row r="450" spans="1:43"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2"/>
      <c r="Y450" s="22"/>
      <c r="Z450" s="22"/>
      <c r="AA450" s="22"/>
      <c r="AB450" s="22"/>
      <c r="AC450" s="22"/>
      <c r="AD450" s="22"/>
      <c r="AE450" s="22"/>
      <c r="AF450" s="22"/>
      <c r="AG450" s="22"/>
      <c r="AH450" s="22"/>
      <c r="AI450" s="22"/>
      <c r="AJ450" s="22"/>
      <c r="AK450" s="22"/>
      <c r="AL450" s="22"/>
      <c r="AM450" s="22"/>
      <c r="AN450" s="22"/>
      <c r="AO450" s="22"/>
      <c r="AP450" s="22"/>
      <c r="AQ450" s="22"/>
    </row>
    <row r="451" spans="1:43"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2"/>
      <c r="Y451" s="22"/>
      <c r="Z451" s="22"/>
      <c r="AA451" s="22"/>
      <c r="AB451" s="22"/>
      <c r="AC451" s="22"/>
      <c r="AD451" s="22"/>
      <c r="AE451" s="22"/>
      <c r="AF451" s="22"/>
      <c r="AG451" s="22"/>
      <c r="AH451" s="22"/>
      <c r="AI451" s="22"/>
      <c r="AJ451" s="22"/>
      <c r="AK451" s="22"/>
      <c r="AL451" s="22"/>
      <c r="AM451" s="22"/>
      <c r="AN451" s="22"/>
      <c r="AO451" s="22"/>
      <c r="AP451" s="22"/>
      <c r="AQ451" s="22"/>
    </row>
    <row r="452" spans="1:43"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2"/>
      <c r="Y452" s="22"/>
      <c r="Z452" s="22"/>
      <c r="AA452" s="22"/>
      <c r="AB452" s="22"/>
      <c r="AC452" s="22"/>
      <c r="AD452" s="22"/>
      <c r="AE452" s="22"/>
      <c r="AF452" s="22"/>
      <c r="AG452" s="22"/>
      <c r="AH452" s="22"/>
      <c r="AI452" s="22"/>
      <c r="AJ452" s="22"/>
      <c r="AK452" s="22"/>
      <c r="AL452" s="22"/>
      <c r="AM452" s="22"/>
      <c r="AN452" s="22"/>
      <c r="AO452" s="22"/>
      <c r="AP452" s="22"/>
      <c r="AQ452" s="22"/>
    </row>
    <row r="453" spans="1:43"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2"/>
      <c r="Y453" s="22"/>
      <c r="Z453" s="22"/>
      <c r="AA453" s="22"/>
      <c r="AB453" s="22"/>
      <c r="AC453" s="22"/>
      <c r="AD453" s="22"/>
      <c r="AE453" s="22"/>
      <c r="AF453" s="22"/>
      <c r="AG453" s="22"/>
      <c r="AH453" s="22"/>
      <c r="AI453" s="22"/>
      <c r="AJ453" s="22"/>
      <c r="AK453" s="22"/>
      <c r="AL453" s="22"/>
      <c r="AM453" s="22"/>
      <c r="AN453" s="22"/>
      <c r="AO453" s="22"/>
      <c r="AP453" s="22"/>
      <c r="AQ453" s="22"/>
    </row>
    <row r="454" spans="1:43"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2"/>
      <c r="Y454" s="22"/>
      <c r="Z454" s="22"/>
      <c r="AA454" s="22"/>
      <c r="AB454" s="22"/>
      <c r="AC454" s="22"/>
      <c r="AD454" s="22"/>
      <c r="AE454" s="22"/>
      <c r="AF454" s="22"/>
      <c r="AG454" s="22"/>
      <c r="AH454" s="22"/>
      <c r="AI454" s="22"/>
      <c r="AJ454" s="22"/>
      <c r="AK454" s="22"/>
      <c r="AL454" s="22"/>
      <c r="AM454" s="22"/>
      <c r="AN454" s="22"/>
      <c r="AO454" s="22"/>
      <c r="AP454" s="22"/>
      <c r="AQ454" s="22"/>
    </row>
    <row r="455" spans="1:43"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2"/>
      <c r="Y455" s="22"/>
      <c r="Z455" s="22"/>
      <c r="AA455" s="22"/>
      <c r="AB455" s="22"/>
      <c r="AC455" s="22"/>
      <c r="AD455" s="22"/>
      <c r="AE455" s="22"/>
      <c r="AF455" s="22"/>
      <c r="AG455" s="22"/>
      <c r="AH455" s="22"/>
      <c r="AI455" s="22"/>
      <c r="AJ455" s="22"/>
      <c r="AK455" s="22"/>
      <c r="AL455" s="22"/>
      <c r="AM455" s="22"/>
      <c r="AN455" s="22"/>
      <c r="AO455" s="22"/>
      <c r="AP455" s="22"/>
      <c r="AQ455" s="22"/>
    </row>
    <row r="456" spans="1:43"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2"/>
      <c r="Y456" s="22"/>
      <c r="Z456" s="22"/>
      <c r="AA456" s="22"/>
      <c r="AB456" s="22"/>
      <c r="AC456" s="22"/>
      <c r="AD456" s="22"/>
      <c r="AE456" s="22"/>
      <c r="AF456" s="22"/>
      <c r="AG456" s="22"/>
      <c r="AH456" s="22"/>
      <c r="AI456" s="22"/>
      <c r="AJ456" s="22"/>
      <c r="AK456" s="22"/>
      <c r="AL456" s="22"/>
      <c r="AM456" s="22"/>
      <c r="AN456" s="22"/>
      <c r="AO456" s="22"/>
      <c r="AP456" s="22"/>
      <c r="AQ456" s="22"/>
    </row>
    <row r="457" spans="1:43"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2"/>
      <c r="Y457" s="22"/>
      <c r="Z457" s="22"/>
      <c r="AA457" s="22"/>
      <c r="AB457" s="22"/>
      <c r="AC457" s="22"/>
      <c r="AD457" s="22"/>
      <c r="AE457" s="22"/>
      <c r="AF457" s="22"/>
      <c r="AG457" s="22"/>
      <c r="AH457" s="22"/>
      <c r="AI457" s="22"/>
      <c r="AJ457" s="22"/>
      <c r="AK457" s="22"/>
      <c r="AL457" s="22"/>
      <c r="AM457" s="22"/>
      <c r="AN457" s="22"/>
      <c r="AO457" s="22"/>
      <c r="AP457" s="22"/>
      <c r="AQ457" s="22"/>
    </row>
    <row r="458" spans="1:43"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2"/>
      <c r="Y458" s="22"/>
      <c r="Z458" s="22"/>
      <c r="AA458" s="22"/>
      <c r="AB458" s="22"/>
      <c r="AC458" s="22"/>
      <c r="AD458" s="22"/>
      <c r="AE458" s="22"/>
      <c r="AF458" s="22"/>
      <c r="AG458" s="22"/>
      <c r="AH458" s="22"/>
      <c r="AI458" s="22"/>
      <c r="AJ458" s="22"/>
      <c r="AK458" s="22"/>
      <c r="AL458" s="22"/>
      <c r="AM458" s="22"/>
      <c r="AN458" s="22"/>
      <c r="AO458" s="22"/>
      <c r="AP458" s="22"/>
      <c r="AQ458" s="22"/>
    </row>
    <row r="459" spans="1:43"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2"/>
      <c r="Y459" s="22"/>
      <c r="Z459" s="22"/>
      <c r="AA459" s="22"/>
      <c r="AB459" s="22"/>
      <c r="AC459" s="22"/>
      <c r="AD459" s="22"/>
      <c r="AE459" s="22"/>
      <c r="AF459" s="22"/>
      <c r="AG459" s="22"/>
      <c r="AH459" s="22"/>
      <c r="AI459" s="22"/>
      <c r="AJ459" s="22"/>
      <c r="AK459" s="22"/>
      <c r="AL459" s="22"/>
      <c r="AM459" s="22"/>
      <c r="AN459" s="22"/>
      <c r="AO459" s="22"/>
      <c r="AP459" s="22"/>
      <c r="AQ459" s="22"/>
    </row>
    <row r="460" spans="1:43"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2"/>
      <c r="Y460" s="22"/>
      <c r="Z460" s="22"/>
      <c r="AA460" s="22"/>
      <c r="AB460" s="22"/>
      <c r="AC460" s="22"/>
      <c r="AD460" s="22"/>
      <c r="AE460" s="22"/>
      <c r="AF460" s="22"/>
      <c r="AG460" s="22"/>
      <c r="AH460" s="22"/>
      <c r="AI460" s="22"/>
      <c r="AJ460" s="22"/>
      <c r="AK460" s="22"/>
      <c r="AL460" s="22"/>
      <c r="AM460" s="22"/>
      <c r="AN460" s="22"/>
      <c r="AO460" s="22"/>
      <c r="AP460" s="22"/>
      <c r="AQ460" s="22"/>
    </row>
    <row r="461" spans="1:43"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2"/>
      <c r="Y461" s="22"/>
      <c r="Z461" s="22"/>
      <c r="AA461" s="22"/>
      <c r="AB461" s="22"/>
      <c r="AC461" s="22"/>
      <c r="AD461" s="22"/>
      <c r="AE461" s="22"/>
      <c r="AF461" s="22"/>
      <c r="AG461" s="22"/>
      <c r="AH461" s="22"/>
      <c r="AI461" s="22"/>
      <c r="AJ461" s="22"/>
      <c r="AK461" s="22"/>
      <c r="AL461" s="22"/>
      <c r="AM461" s="22"/>
      <c r="AN461" s="22"/>
      <c r="AO461" s="22"/>
      <c r="AP461" s="22"/>
      <c r="AQ461" s="22"/>
    </row>
    <row r="462" spans="1:43"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2"/>
      <c r="Y462" s="22"/>
      <c r="Z462" s="22"/>
      <c r="AA462" s="22"/>
      <c r="AB462" s="22"/>
      <c r="AC462" s="22"/>
      <c r="AD462" s="22"/>
      <c r="AE462" s="22"/>
      <c r="AF462" s="22"/>
      <c r="AG462" s="22"/>
      <c r="AH462" s="22"/>
      <c r="AI462" s="22"/>
      <c r="AJ462" s="22"/>
      <c r="AK462" s="22"/>
      <c r="AL462" s="22"/>
      <c r="AM462" s="22"/>
      <c r="AN462" s="22"/>
      <c r="AO462" s="22"/>
      <c r="AP462" s="22"/>
      <c r="AQ462" s="22"/>
    </row>
    <row r="463" spans="1:43"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2"/>
      <c r="Y463" s="22"/>
      <c r="Z463" s="22"/>
      <c r="AA463" s="22"/>
      <c r="AB463" s="22"/>
      <c r="AC463" s="22"/>
      <c r="AD463" s="22"/>
      <c r="AE463" s="22"/>
      <c r="AF463" s="22"/>
      <c r="AG463" s="22"/>
      <c r="AH463" s="22"/>
      <c r="AI463" s="22"/>
      <c r="AJ463" s="22"/>
      <c r="AK463" s="22"/>
      <c r="AL463" s="22"/>
      <c r="AM463" s="22"/>
      <c r="AN463" s="22"/>
      <c r="AO463" s="22"/>
      <c r="AP463" s="22"/>
      <c r="AQ463" s="22"/>
    </row>
    <row r="464" spans="1:43"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2"/>
      <c r="Y464" s="22"/>
      <c r="Z464" s="22"/>
      <c r="AA464" s="22"/>
      <c r="AB464" s="22"/>
      <c r="AC464" s="22"/>
      <c r="AD464" s="22"/>
      <c r="AE464" s="22"/>
      <c r="AF464" s="22"/>
      <c r="AG464" s="22"/>
      <c r="AH464" s="22"/>
      <c r="AI464" s="22"/>
      <c r="AJ464" s="22"/>
      <c r="AK464" s="22"/>
      <c r="AL464" s="22"/>
      <c r="AM464" s="22"/>
      <c r="AN464" s="22"/>
      <c r="AO464" s="22"/>
      <c r="AP464" s="22"/>
      <c r="AQ464" s="22"/>
    </row>
    <row r="465" spans="1:43"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2"/>
      <c r="Y465" s="22"/>
      <c r="Z465" s="22"/>
      <c r="AA465" s="22"/>
      <c r="AB465" s="22"/>
      <c r="AC465" s="22"/>
      <c r="AD465" s="22"/>
      <c r="AE465" s="22"/>
      <c r="AF465" s="22"/>
      <c r="AG465" s="22"/>
      <c r="AH465" s="22"/>
      <c r="AI465" s="22"/>
      <c r="AJ465" s="22"/>
      <c r="AK465" s="22"/>
      <c r="AL465" s="22"/>
      <c r="AM465" s="22"/>
      <c r="AN465" s="22"/>
      <c r="AO465" s="22"/>
      <c r="AP465" s="22"/>
      <c r="AQ465" s="22"/>
    </row>
    <row r="466" spans="1:43"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2"/>
      <c r="Y466" s="22"/>
      <c r="Z466" s="22"/>
      <c r="AA466" s="22"/>
      <c r="AB466" s="22"/>
      <c r="AC466" s="22"/>
      <c r="AD466" s="22"/>
      <c r="AE466" s="22"/>
      <c r="AF466" s="22"/>
      <c r="AG466" s="22"/>
      <c r="AH466" s="22"/>
      <c r="AI466" s="22"/>
      <c r="AJ466" s="22"/>
      <c r="AK466" s="22"/>
      <c r="AL466" s="22"/>
      <c r="AM466" s="22"/>
      <c r="AN466" s="22"/>
      <c r="AO466" s="22"/>
      <c r="AP466" s="22"/>
      <c r="AQ466" s="22"/>
    </row>
    <row r="467" spans="1:43"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2"/>
      <c r="Y467" s="22"/>
      <c r="Z467" s="22"/>
      <c r="AA467" s="22"/>
      <c r="AB467" s="22"/>
      <c r="AC467" s="22"/>
      <c r="AD467" s="22"/>
      <c r="AE467" s="22"/>
      <c r="AF467" s="22"/>
      <c r="AG467" s="22"/>
      <c r="AH467" s="22"/>
      <c r="AI467" s="22"/>
      <c r="AJ467" s="22"/>
      <c r="AK467" s="22"/>
      <c r="AL467" s="22"/>
      <c r="AM467" s="22"/>
      <c r="AN467" s="22"/>
      <c r="AO467" s="22"/>
      <c r="AP467" s="22"/>
      <c r="AQ467" s="22"/>
    </row>
    <row r="468" spans="1:43"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2"/>
      <c r="Y468" s="22"/>
      <c r="Z468" s="22"/>
      <c r="AA468" s="22"/>
      <c r="AB468" s="22"/>
      <c r="AC468" s="22"/>
      <c r="AD468" s="22"/>
      <c r="AE468" s="22"/>
      <c r="AF468" s="22"/>
      <c r="AG468" s="22"/>
      <c r="AH468" s="22"/>
      <c r="AI468" s="22"/>
      <c r="AJ468" s="22"/>
      <c r="AK468" s="22"/>
      <c r="AL468" s="22"/>
      <c r="AM468" s="22"/>
      <c r="AN468" s="22"/>
      <c r="AO468" s="22"/>
      <c r="AP468" s="22"/>
      <c r="AQ468" s="22"/>
    </row>
    <row r="469" spans="1:43"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2"/>
      <c r="Y469" s="22"/>
      <c r="Z469" s="22"/>
      <c r="AA469" s="22"/>
      <c r="AB469" s="22"/>
      <c r="AC469" s="22"/>
      <c r="AD469" s="22"/>
      <c r="AE469" s="22"/>
      <c r="AF469" s="22"/>
      <c r="AG469" s="22"/>
      <c r="AH469" s="22"/>
      <c r="AI469" s="22"/>
      <c r="AJ469" s="22"/>
      <c r="AK469" s="22"/>
      <c r="AL469" s="22"/>
      <c r="AM469" s="22"/>
      <c r="AN469" s="22"/>
      <c r="AO469" s="22"/>
      <c r="AP469" s="22"/>
      <c r="AQ469" s="22"/>
    </row>
    <row r="470" spans="1:43"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2"/>
      <c r="Y470" s="22"/>
      <c r="Z470" s="22"/>
      <c r="AA470" s="22"/>
      <c r="AB470" s="22"/>
      <c r="AC470" s="22"/>
      <c r="AD470" s="22"/>
      <c r="AE470" s="22"/>
      <c r="AF470" s="22"/>
      <c r="AG470" s="22"/>
      <c r="AH470" s="22"/>
      <c r="AI470" s="22"/>
      <c r="AJ470" s="22"/>
      <c r="AK470" s="22"/>
      <c r="AL470" s="22"/>
      <c r="AM470" s="22"/>
      <c r="AN470" s="22"/>
      <c r="AO470" s="22"/>
      <c r="AP470" s="22"/>
      <c r="AQ470" s="22"/>
    </row>
    <row r="471" spans="1:43"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2"/>
      <c r="Y471" s="22"/>
      <c r="Z471" s="22"/>
      <c r="AA471" s="22"/>
      <c r="AB471" s="22"/>
      <c r="AC471" s="22"/>
      <c r="AD471" s="22"/>
      <c r="AE471" s="22"/>
      <c r="AF471" s="22"/>
      <c r="AG471" s="22"/>
      <c r="AH471" s="22"/>
      <c r="AI471" s="22"/>
      <c r="AJ471" s="22"/>
      <c r="AK471" s="22"/>
      <c r="AL471" s="22"/>
      <c r="AM471" s="22"/>
      <c r="AN471" s="22"/>
      <c r="AO471" s="22"/>
      <c r="AP471" s="22"/>
      <c r="AQ471" s="22"/>
    </row>
    <row r="472" spans="1:43"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2"/>
      <c r="Y472" s="22"/>
      <c r="Z472" s="22"/>
      <c r="AA472" s="22"/>
      <c r="AB472" s="22"/>
      <c r="AC472" s="22"/>
      <c r="AD472" s="22"/>
      <c r="AE472" s="22"/>
      <c r="AF472" s="22"/>
      <c r="AG472" s="22"/>
      <c r="AH472" s="22"/>
      <c r="AI472" s="22"/>
      <c r="AJ472" s="22"/>
      <c r="AK472" s="22"/>
      <c r="AL472" s="22"/>
      <c r="AM472" s="22"/>
      <c r="AN472" s="22"/>
      <c r="AO472" s="22"/>
      <c r="AP472" s="22"/>
      <c r="AQ472" s="22"/>
    </row>
    <row r="473" spans="1:43"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2"/>
      <c r="Y473" s="22"/>
      <c r="Z473" s="22"/>
      <c r="AA473" s="22"/>
      <c r="AB473" s="22"/>
      <c r="AC473" s="22"/>
      <c r="AD473" s="22"/>
      <c r="AE473" s="22"/>
      <c r="AF473" s="22"/>
      <c r="AG473" s="22"/>
      <c r="AH473" s="22"/>
      <c r="AI473" s="22"/>
      <c r="AJ473" s="22"/>
      <c r="AK473" s="22"/>
      <c r="AL473" s="22"/>
      <c r="AM473" s="22"/>
      <c r="AN473" s="22"/>
      <c r="AO473" s="22"/>
      <c r="AP473" s="22"/>
      <c r="AQ473" s="22"/>
    </row>
    <row r="474" spans="1:43"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2"/>
      <c r="Y474" s="22"/>
      <c r="Z474" s="22"/>
      <c r="AA474" s="22"/>
      <c r="AB474" s="22"/>
      <c r="AC474" s="22"/>
      <c r="AD474" s="22"/>
      <c r="AE474" s="22"/>
      <c r="AF474" s="22"/>
      <c r="AG474" s="22"/>
      <c r="AH474" s="22"/>
      <c r="AI474" s="22"/>
      <c r="AJ474" s="22"/>
      <c r="AK474" s="22"/>
      <c r="AL474" s="22"/>
      <c r="AM474" s="22"/>
      <c r="AN474" s="22"/>
      <c r="AO474" s="22"/>
      <c r="AP474" s="22"/>
      <c r="AQ474" s="22"/>
    </row>
    <row r="475" spans="1:43"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2"/>
      <c r="Y475" s="22"/>
      <c r="Z475" s="22"/>
      <c r="AA475" s="22"/>
      <c r="AB475" s="22"/>
      <c r="AC475" s="22"/>
      <c r="AD475" s="22"/>
      <c r="AE475" s="22"/>
      <c r="AF475" s="22"/>
      <c r="AG475" s="22"/>
      <c r="AH475" s="22"/>
      <c r="AI475" s="22"/>
      <c r="AJ475" s="22"/>
      <c r="AK475" s="22"/>
      <c r="AL475" s="22"/>
      <c r="AM475" s="22"/>
      <c r="AN475" s="22"/>
      <c r="AO475" s="22"/>
      <c r="AP475" s="22"/>
      <c r="AQ475" s="22"/>
    </row>
    <row r="476" spans="1:43"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2"/>
      <c r="Y476" s="22"/>
      <c r="Z476" s="22"/>
      <c r="AA476" s="22"/>
      <c r="AB476" s="22"/>
      <c r="AC476" s="22"/>
      <c r="AD476" s="22"/>
      <c r="AE476" s="22"/>
      <c r="AF476" s="22"/>
      <c r="AG476" s="22"/>
      <c r="AH476" s="22"/>
      <c r="AI476" s="22"/>
      <c r="AJ476" s="22"/>
      <c r="AK476" s="22"/>
      <c r="AL476" s="22"/>
      <c r="AM476" s="22"/>
      <c r="AN476" s="22"/>
      <c r="AO476" s="22"/>
      <c r="AP476" s="22"/>
      <c r="AQ476" s="22"/>
    </row>
    <row r="477" spans="1:43"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2"/>
      <c r="Y477" s="22"/>
      <c r="Z477" s="22"/>
      <c r="AA477" s="22"/>
      <c r="AB477" s="22"/>
      <c r="AC477" s="22"/>
      <c r="AD477" s="22"/>
      <c r="AE477" s="22"/>
      <c r="AF477" s="22"/>
      <c r="AG477" s="22"/>
      <c r="AH477" s="22"/>
      <c r="AI477" s="22"/>
      <c r="AJ477" s="22"/>
      <c r="AK477" s="22"/>
      <c r="AL477" s="22"/>
      <c r="AM477" s="22"/>
      <c r="AN477" s="22"/>
      <c r="AO477" s="22"/>
      <c r="AP477" s="22"/>
      <c r="AQ477" s="22"/>
    </row>
    <row r="478" spans="1:43"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2"/>
      <c r="Y478" s="22"/>
      <c r="Z478" s="22"/>
      <c r="AA478" s="22"/>
      <c r="AB478" s="22"/>
      <c r="AC478" s="22"/>
      <c r="AD478" s="22"/>
      <c r="AE478" s="22"/>
      <c r="AF478" s="22"/>
      <c r="AG478" s="22"/>
      <c r="AH478" s="22"/>
      <c r="AI478" s="22"/>
      <c r="AJ478" s="22"/>
      <c r="AK478" s="22"/>
      <c r="AL478" s="22"/>
      <c r="AM478" s="22"/>
      <c r="AN478" s="22"/>
      <c r="AO478" s="22"/>
      <c r="AP478" s="22"/>
      <c r="AQ478" s="22"/>
    </row>
    <row r="479" spans="1:43"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2"/>
      <c r="Y479" s="22"/>
      <c r="Z479" s="22"/>
      <c r="AA479" s="22"/>
      <c r="AB479" s="22"/>
      <c r="AC479" s="22"/>
      <c r="AD479" s="22"/>
      <c r="AE479" s="22"/>
      <c r="AF479" s="22"/>
      <c r="AG479" s="22"/>
      <c r="AH479" s="22"/>
      <c r="AI479" s="22"/>
      <c r="AJ479" s="22"/>
      <c r="AK479" s="22"/>
      <c r="AL479" s="22"/>
      <c r="AM479" s="22"/>
      <c r="AN479" s="22"/>
      <c r="AO479" s="22"/>
      <c r="AP479" s="22"/>
      <c r="AQ479" s="22"/>
    </row>
    <row r="480" spans="1:43"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2"/>
      <c r="Y480" s="22"/>
      <c r="Z480" s="22"/>
      <c r="AA480" s="22"/>
      <c r="AB480" s="22"/>
      <c r="AC480" s="22"/>
      <c r="AD480" s="22"/>
      <c r="AE480" s="22"/>
      <c r="AF480" s="22"/>
      <c r="AG480" s="22"/>
      <c r="AH480" s="22"/>
      <c r="AI480" s="22"/>
      <c r="AJ480" s="22"/>
      <c r="AK480" s="22"/>
      <c r="AL480" s="22"/>
      <c r="AM480" s="22"/>
      <c r="AN480" s="22"/>
      <c r="AO480" s="22"/>
      <c r="AP480" s="22"/>
      <c r="AQ480" s="22"/>
    </row>
    <row r="481" spans="1:43"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2"/>
      <c r="Y481" s="22"/>
      <c r="Z481" s="22"/>
      <c r="AA481" s="22"/>
      <c r="AB481" s="22"/>
      <c r="AC481" s="22"/>
      <c r="AD481" s="22"/>
      <c r="AE481" s="22"/>
      <c r="AF481" s="22"/>
      <c r="AG481" s="22"/>
      <c r="AH481" s="22"/>
      <c r="AI481" s="22"/>
      <c r="AJ481" s="22"/>
      <c r="AK481" s="22"/>
      <c r="AL481" s="22"/>
      <c r="AM481" s="22"/>
      <c r="AN481" s="22"/>
      <c r="AO481" s="22"/>
      <c r="AP481" s="22"/>
      <c r="AQ481" s="22"/>
    </row>
    <row r="482" spans="1:43"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2"/>
      <c r="Y482" s="22"/>
      <c r="Z482" s="22"/>
      <c r="AA482" s="22"/>
      <c r="AB482" s="22"/>
      <c r="AC482" s="22"/>
      <c r="AD482" s="22"/>
      <c r="AE482" s="22"/>
      <c r="AF482" s="22"/>
      <c r="AG482" s="22"/>
      <c r="AH482" s="22"/>
      <c r="AI482" s="22"/>
      <c r="AJ482" s="22"/>
      <c r="AK482" s="22"/>
      <c r="AL482" s="22"/>
      <c r="AM482" s="22"/>
      <c r="AN482" s="22"/>
      <c r="AO482" s="22"/>
      <c r="AP482" s="22"/>
      <c r="AQ482" s="22"/>
    </row>
    <row r="483" spans="1:43"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2"/>
      <c r="Y483" s="22"/>
      <c r="Z483" s="22"/>
      <c r="AA483" s="22"/>
      <c r="AB483" s="22"/>
      <c r="AC483" s="22"/>
      <c r="AD483" s="22"/>
      <c r="AE483" s="22"/>
      <c r="AF483" s="22"/>
      <c r="AG483" s="22"/>
      <c r="AH483" s="22"/>
      <c r="AI483" s="22"/>
      <c r="AJ483" s="22"/>
      <c r="AK483" s="22"/>
      <c r="AL483" s="22"/>
      <c r="AM483" s="22"/>
      <c r="AN483" s="22"/>
      <c r="AO483" s="22"/>
      <c r="AP483" s="22"/>
      <c r="AQ483" s="22"/>
    </row>
    <row r="484" spans="1:43"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2"/>
      <c r="Y484" s="22"/>
      <c r="Z484" s="22"/>
      <c r="AA484" s="22"/>
      <c r="AB484" s="22"/>
      <c r="AC484" s="22"/>
      <c r="AD484" s="22"/>
      <c r="AE484" s="22"/>
      <c r="AF484" s="22"/>
      <c r="AG484" s="22"/>
      <c r="AH484" s="22"/>
      <c r="AI484" s="22"/>
      <c r="AJ484" s="22"/>
      <c r="AK484" s="22"/>
      <c r="AL484" s="22"/>
      <c r="AM484" s="22"/>
      <c r="AN484" s="22"/>
      <c r="AO484" s="22"/>
      <c r="AP484" s="22"/>
      <c r="AQ484" s="22"/>
    </row>
    <row r="485" spans="1:43"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2"/>
      <c r="Y485" s="22"/>
      <c r="Z485" s="22"/>
      <c r="AA485" s="22"/>
      <c r="AB485" s="22"/>
      <c r="AC485" s="22"/>
      <c r="AD485" s="22"/>
      <c r="AE485" s="22"/>
      <c r="AF485" s="22"/>
      <c r="AG485" s="22"/>
      <c r="AH485" s="22"/>
      <c r="AI485" s="22"/>
      <c r="AJ485" s="22"/>
      <c r="AK485" s="22"/>
      <c r="AL485" s="22"/>
      <c r="AM485" s="22"/>
      <c r="AN485" s="22"/>
      <c r="AO485" s="22"/>
      <c r="AP485" s="22"/>
      <c r="AQ485" s="22"/>
    </row>
    <row r="486" spans="1:43"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2"/>
      <c r="Y486" s="22"/>
      <c r="Z486" s="22"/>
      <c r="AA486" s="22"/>
      <c r="AB486" s="22"/>
      <c r="AC486" s="22"/>
      <c r="AD486" s="22"/>
      <c r="AE486" s="22"/>
      <c r="AF486" s="22"/>
      <c r="AG486" s="22"/>
      <c r="AH486" s="22"/>
      <c r="AI486" s="22"/>
      <c r="AJ486" s="22"/>
      <c r="AK486" s="22"/>
      <c r="AL486" s="22"/>
      <c r="AM486" s="22"/>
      <c r="AN486" s="22"/>
      <c r="AO486" s="22"/>
      <c r="AP486" s="22"/>
      <c r="AQ486" s="22"/>
    </row>
    <row r="487" spans="1:43"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2"/>
      <c r="Y487" s="22"/>
      <c r="Z487" s="22"/>
      <c r="AA487" s="22"/>
      <c r="AB487" s="22"/>
      <c r="AC487" s="22"/>
      <c r="AD487" s="22"/>
      <c r="AE487" s="22"/>
      <c r="AF487" s="22"/>
      <c r="AG487" s="22"/>
      <c r="AH487" s="22"/>
      <c r="AI487" s="22"/>
      <c r="AJ487" s="22"/>
      <c r="AK487" s="22"/>
      <c r="AL487" s="22"/>
      <c r="AM487" s="22"/>
      <c r="AN487" s="22"/>
      <c r="AO487" s="22"/>
      <c r="AP487" s="22"/>
      <c r="AQ487" s="22"/>
    </row>
    <row r="488" spans="1:43"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2"/>
      <c r="Y488" s="22"/>
      <c r="Z488" s="22"/>
      <c r="AA488" s="22"/>
      <c r="AB488" s="22"/>
      <c r="AC488" s="22"/>
      <c r="AD488" s="22"/>
      <c r="AE488" s="22"/>
      <c r="AF488" s="22"/>
      <c r="AG488" s="22"/>
      <c r="AH488" s="22"/>
      <c r="AI488" s="22"/>
      <c r="AJ488" s="22"/>
      <c r="AK488" s="22"/>
      <c r="AL488" s="22"/>
      <c r="AM488" s="22"/>
      <c r="AN488" s="22"/>
      <c r="AO488" s="22"/>
      <c r="AP488" s="22"/>
      <c r="AQ488" s="22"/>
    </row>
    <row r="489" spans="1:43"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2"/>
      <c r="Y489" s="22"/>
      <c r="Z489" s="22"/>
      <c r="AA489" s="22"/>
      <c r="AB489" s="22"/>
      <c r="AC489" s="22"/>
      <c r="AD489" s="22"/>
      <c r="AE489" s="22"/>
      <c r="AF489" s="22"/>
      <c r="AG489" s="22"/>
      <c r="AH489" s="22"/>
      <c r="AI489" s="22"/>
      <c r="AJ489" s="22"/>
      <c r="AK489" s="22"/>
      <c r="AL489" s="22"/>
      <c r="AM489" s="22"/>
      <c r="AN489" s="22"/>
      <c r="AO489" s="22"/>
      <c r="AP489" s="22"/>
      <c r="AQ489" s="22"/>
    </row>
    <row r="490" spans="1:43"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2"/>
      <c r="Y490" s="22"/>
      <c r="Z490" s="22"/>
      <c r="AA490" s="22"/>
      <c r="AB490" s="22"/>
      <c r="AC490" s="22"/>
      <c r="AD490" s="22"/>
      <c r="AE490" s="22"/>
      <c r="AF490" s="22"/>
      <c r="AG490" s="22"/>
      <c r="AH490" s="22"/>
      <c r="AI490" s="22"/>
      <c r="AJ490" s="22"/>
      <c r="AK490" s="22"/>
      <c r="AL490" s="22"/>
      <c r="AM490" s="22"/>
      <c r="AN490" s="22"/>
      <c r="AO490" s="22"/>
      <c r="AP490" s="22"/>
      <c r="AQ490" s="22"/>
    </row>
    <row r="491" spans="1:43"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2"/>
      <c r="Y491" s="22"/>
      <c r="Z491" s="22"/>
      <c r="AA491" s="22"/>
      <c r="AB491" s="22"/>
      <c r="AC491" s="22"/>
      <c r="AD491" s="22"/>
      <c r="AE491" s="22"/>
      <c r="AF491" s="22"/>
      <c r="AG491" s="22"/>
      <c r="AH491" s="22"/>
      <c r="AI491" s="22"/>
      <c r="AJ491" s="22"/>
      <c r="AK491" s="22"/>
      <c r="AL491" s="22"/>
      <c r="AM491" s="22"/>
      <c r="AN491" s="22"/>
      <c r="AO491" s="22"/>
      <c r="AP491" s="22"/>
      <c r="AQ491" s="22"/>
    </row>
    <row r="492" spans="1:43"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2"/>
      <c r="Y492" s="22"/>
      <c r="Z492" s="22"/>
      <c r="AA492" s="22"/>
      <c r="AB492" s="22"/>
      <c r="AC492" s="22"/>
      <c r="AD492" s="22"/>
      <c r="AE492" s="22"/>
      <c r="AF492" s="22"/>
      <c r="AG492" s="22"/>
      <c r="AH492" s="22"/>
      <c r="AI492" s="22"/>
      <c r="AJ492" s="22"/>
      <c r="AK492" s="22"/>
      <c r="AL492" s="22"/>
      <c r="AM492" s="22"/>
      <c r="AN492" s="22"/>
      <c r="AO492" s="22"/>
      <c r="AP492" s="22"/>
      <c r="AQ492" s="22"/>
    </row>
    <row r="493" spans="1:43"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2"/>
      <c r="Y493" s="22"/>
      <c r="Z493" s="22"/>
      <c r="AA493" s="22"/>
      <c r="AB493" s="22"/>
      <c r="AC493" s="22"/>
      <c r="AD493" s="22"/>
      <c r="AE493" s="22"/>
      <c r="AF493" s="22"/>
      <c r="AG493" s="22"/>
      <c r="AH493" s="22"/>
      <c r="AI493" s="22"/>
      <c r="AJ493" s="22"/>
      <c r="AK493" s="22"/>
      <c r="AL493" s="22"/>
      <c r="AM493" s="22"/>
      <c r="AN493" s="22"/>
      <c r="AO493" s="22"/>
      <c r="AP493" s="22"/>
      <c r="AQ493" s="22"/>
    </row>
    <row r="494" spans="1:43"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2"/>
      <c r="Y494" s="22"/>
      <c r="Z494" s="22"/>
      <c r="AA494" s="22"/>
      <c r="AB494" s="22"/>
      <c r="AC494" s="22"/>
      <c r="AD494" s="22"/>
      <c r="AE494" s="22"/>
      <c r="AF494" s="22"/>
      <c r="AG494" s="22"/>
      <c r="AH494" s="22"/>
      <c r="AI494" s="22"/>
      <c r="AJ494" s="22"/>
      <c r="AK494" s="22"/>
      <c r="AL494" s="22"/>
      <c r="AM494" s="22"/>
      <c r="AN494" s="22"/>
      <c r="AO494" s="22"/>
      <c r="AP494" s="22"/>
      <c r="AQ494" s="22"/>
    </row>
    <row r="495" spans="1:43"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2"/>
      <c r="Y495" s="22"/>
      <c r="Z495" s="22"/>
      <c r="AA495" s="22"/>
      <c r="AB495" s="22"/>
      <c r="AC495" s="22"/>
      <c r="AD495" s="22"/>
      <c r="AE495" s="22"/>
      <c r="AF495" s="22"/>
      <c r="AG495" s="22"/>
      <c r="AH495" s="22"/>
      <c r="AI495" s="22"/>
      <c r="AJ495" s="22"/>
      <c r="AK495" s="22"/>
      <c r="AL495" s="22"/>
      <c r="AM495" s="22"/>
      <c r="AN495" s="22"/>
      <c r="AO495" s="22"/>
      <c r="AP495" s="22"/>
      <c r="AQ495" s="22"/>
    </row>
    <row r="496" spans="1:43"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2"/>
      <c r="Y496" s="22"/>
      <c r="Z496" s="22"/>
      <c r="AA496" s="22"/>
      <c r="AB496" s="22"/>
      <c r="AC496" s="22"/>
      <c r="AD496" s="22"/>
      <c r="AE496" s="22"/>
      <c r="AF496" s="22"/>
      <c r="AG496" s="22"/>
      <c r="AH496" s="22"/>
      <c r="AI496" s="22"/>
      <c r="AJ496" s="22"/>
      <c r="AK496" s="22"/>
      <c r="AL496" s="22"/>
      <c r="AM496" s="22"/>
      <c r="AN496" s="22"/>
      <c r="AO496" s="22"/>
      <c r="AP496" s="22"/>
      <c r="AQ496" s="22"/>
    </row>
    <row r="497" spans="1:43"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2"/>
      <c r="Y497" s="22"/>
      <c r="Z497" s="22"/>
      <c r="AA497" s="22"/>
      <c r="AB497" s="22"/>
      <c r="AC497" s="22"/>
      <c r="AD497" s="22"/>
      <c r="AE497" s="22"/>
      <c r="AF497" s="22"/>
      <c r="AG497" s="22"/>
      <c r="AH497" s="22"/>
      <c r="AI497" s="22"/>
      <c r="AJ497" s="22"/>
      <c r="AK497" s="22"/>
      <c r="AL497" s="22"/>
      <c r="AM497" s="22"/>
      <c r="AN497" s="22"/>
      <c r="AO497" s="22"/>
      <c r="AP497" s="22"/>
      <c r="AQ497" s="22"/>
    </row>
    <row r="498" spans="1:43"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2"/>
      <c r="Y498" s="22"/>
      <c r="Z498" s="22"/>
      <c r="AA498" s="22"/>
      <c r="AB498" s="22"/>
      <c r="AC498" s="22"/>
      <c r="AD498" s="22"/>
      <c r="AE498" s="22"/>
      <c r="AF498" s="22"/>
      <c r="AG498" s="22"/>
      <c r="AH498" s="22"/>
      <c r="AI498" s="22"/>
      <c r="AJ498" s="22"/>
      <c r="AK498" s="22"/>
      <c r="AL498" s="22"/>
      <c r="AM498" s="22"/>
      <c r="AN498" s="22"/>
      <c r="AO498" s="22"/>
      <c r="AP498" s="22"/>
      <c r="AQ498" s="22"/>
    </row>
    <row r="499" spans="1:43"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2"/>
      <c r="Y499" s="22"/>
      <c r="Z499" s="22"/>
      <c r="AA499" s="22"/>
      <c r="AB499" s="22"/>
      <c r="AC499" s="22"/>
      <c r="AD499" s="22"/>
      <c r="AE499" s="22"/>
      <c r="AF499" s="22"/>
      <c r="AG499" s="22"/>
      <c r="AH499" s="22"/>
      <c r="AI499" s="22"/>
      <c r="AJ499" s="22"/>
      <c r="AK499" s="22"/>
      <c r="AL499" s="22"/>
      <c r="AM499" s="22"/>
      <c r="AN499" s="22"/>
      <c r="AO499" s="22"/>
      <c r="AP499" s="22"/>
      <c r="AQ499" s="22"/>
    </row>
    <row r="500" spans="1:43"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2"/>
      <c r="Y500" s="22"/>
      <c r="Z500" s="22"/>
      <c r="AA500" s="22"/>
      <c r="AB500" s="22"/>
      <c r="AC500" s="22"/>
      <c r="AD500" s="22"/>
      <c r="AE500" s="22"/>
      <c r="AF500" s="22"/>
      <c r="AG500" s="22"/>
      <c r="AH500" s="22"/>
      <c r="AI500" s="22"/>
      <c r="AJ500" s="22"/>
      <c r="AK500" s="22"/>
      <c r="AL500" s="22"/>
      <c r="AM500" s="22"/>
      <c r="AN500" s="22"/>
      <c r="AO500" s="22"/>
      <c r="AP500" s="22"/>
      <c r="AQ500" s="22"/>
    </row>
    <row r="501" spans="1:43"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2"/>
      <c r="Y501" s="22"/>
      <c r="Z501" s="22"/>
      <c r="AA501" s="22"/>
      <c r="AB501" s="22"/>
      <c r="AC501" s="22"/>
      <c r="AD501" s="22"/>
      <c r="AE501" s="22"/>
      <c r="AF501" s="22"/>
      <c r="AG501" s="22"/>
      <c r="AH501" s="22"/>
      <c r="AI501" s="22"/>
      <c r="AJ501" s="22"/>
      <c r="AK501" s="22"/>
      <c r="AL501" s="22"/>
      <c r="AM501" s="22"/>
      <c r="AN501" s="22"/>
      <c r="AO501" s="22"/>
      <c r="AP501" s="22"/>
      <c r="AQ501" s="22"/>
    </row>
    <row r="502" spans="1:43"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2"/>
      <c r="Y502" s="22"/>
      <c r="Z502" s="22"/>
      <c r="AA502" s="22"/>
      <c r="AB502" s="22"/>
      <c r="AC502" s="22"/>
      <c r="AD502" s="22"/>
      <c r="AE502" s="22"/>
      <c r="AF502" s="22"/>
      <c r="AG502" s="22"/>
      <c r="AH502" s="22"/>
      <c r="AI502" s="22"/>
      <c r="AJ502" s="22"/>
      <c r="AK502" s="22"/>
      <c r="AL502" s="22"/>
      <c r="AM502" s="22"/>
      <c r="AN502" s="22"/>
      <c r="AO502" s="22"/>
      <c r="AP502" s="22"/>
      <c r="AQ502" s="22"/>
    </row>
    <row r="503" spans="1:43"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2"/>
      <c r="Y503" s="22"/>
      <c r="Z503" s="22"/>
      <c r="AA503" s="22"/>
      <c r="AB503" s="22"/>
      <c r="AC503" s="22"/>
      <c r="AD503" s="22"/>
      <c r="AE503" s="22"/>
      <c r="AF503" s="22"/>
      <c r="AG503" s="22"/>
      <c r="AH503" s="22"/>
      <c r="AI503" s="22"/>
      <c r="AJ503" s="22"/>
      <c r="AK503" s="22"/>
      <c r="AL503" s="22"/>
      <c r="AM503" s="22"/>
      <c r="AN503" s="22"/>
      <c r="AO503" s="22"/>
      <c r="AP503" s="22"/>
      <c r="AQ503" s="22"/>
    </row>
    <row r="504" spans="1:43"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2"/>
      <c r="Y504" s="22"/>
      <c r="Z504" s="22"/>
      <c r="AA504" s="22"/>
      <c r="AB504" s="22"/>
      <c r="AC504" s="22"/>
      <c r="AD504" s="22"/>
      <c r="AE504" s="22"/>
      <c r="AF504" s="22"/>
      <c r="AG504" s="22"/>
      <c r="AH504" s="22"/>
      <c r="AI504" s="22"/>
      <c r="AJ504" s="22"/>
      <c r="AK504" s="22"/>
      <c r="AL504" s="22"/>
      <c r="AM504" s="22"/>
      <c r="AN504" s="22"/>
      <c r="AO504" s="22"/>
      <c r="AP504" s="22"/>
      <c r="AQ504" s="22"/>
    </row>
    <row r="505" spans="1:43"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2"/>
      <c r="Y505" s="22"/>
      <c r="Z505" s="22"/>
      <c r="AA505" s="22"/>
      <c r="AB505" s="22"/>
      <c r="AC505" s="22"/>
      <c r="AD505" s="22"/>
      <c r="AE505" s="22"/>
      <c r="AF505" s="22"/>
      <c r="AG505" s="22"/>
      <c r="AH505" s="22"/>
      <c r="AI505" s="22"/>
      <c r="AJ505" s="22"/>
      <c r="AK505" s="22"/>
      <c r="AL505" s="22"/>
      <c r="AM505" s="22"/>
      <c r="AN505" s="22"/>
      <c r="AO505" s="22"/>
      <c r="AP505" s="22"/>
      <c r="AQ505" s="22"/>
    </row>
    <row r="506" spans="1:43"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2"/>
      <c r="Y506" s="22"/>
      <c r="Z506" s="22"/>
      <c r="AA506" s="22"/>
      <c r="AB506" s="22"/>
      <c r="AC506" s="22"/>
      <c r="AD506" s="22"/>
      <c r="AE506" s="22"/>
      <c r="AF506" s="22"/>
      <c r="AG506" s="22"/>
      <c r="AH506" s="22"/>
      <c r="AI506" s="22"/>
      <c r="AJ506" s="22"/>
      <c r="AK506" s="22"/>
      <c r="AL506" s="22"/>
      <c r="AM506" s="22"/>
      <c r="AN506" s="22"/>
      <c r="AO506" s="22"/>
      <c r="AP506" s="22"/>
      <c r="AQ506" s="22"/>
    </row>
    <row r="507" spans="1:43"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2"/>
      <c r="Y507" s="22"/>
      <c r="Z507" s="22"/>
      <c r="AA507" s="22"/>
      <c r="AB507" s="22"/>
      <c r="AC507" s="22"/>
      <c r="AD507" s="22"/>
      <c r="AE507" s="22"/>
      <c r="AF507" s="22"/>
      <c r="AG507" s="22"/>
      <c r="AH507" s="22"/>
      <c r="AI507" s="22"/>
      <c r="AJ507" s="22"/>
      <c r="AK507" s="22"/>
      <c r="AL507" s="22"/>
      <c r="AM507" s="22"/>
      <c r="AN507" s="22"/>
      <c r="AO507" s="22"/>
      <c r="AP507" s="22"/>
      <c r="AQ507" s="22"/>
    </row>
    <row r="508" spans="1:43"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2"/>
      <c r="Y508" s="22"/>
      <c r="Z508" s="22"/>
      <c r="AA508" s="22"/>
      <c r="AB508" s="22"/>
      <c r="AC508" s="22"/>
      <c r="AD508" s="22"/>
      <c r="AE508" s="22"/>
      <c r="AF508" s="22"/>
      <c r="AG508" s="22"/>
      <c r="AH508" s="22"/>
      <c r="AI508" s="22"/>
      <c r="AJ508" s="22"/>
      <c r="AK508" s="22"/>
      <c r="AL508" s="22"/>
      <c r="AM508" s="22"/>
      <c r="AN508" s="22"/>
      <c r="AO508" s="22"/>
      <c r="AP508" s="22"/>
      <c r="AQ508" s="22"/>
    </row>
    <row r="509" spans="1:43"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2"/>
      <c r="Y509" s="22"/>
      <c r="Z509" s="22"/>
      <c r="AA509" s="22"/>
      <c r="AB509" s="22"/>
      <c r="AC509" s="22"/>
      <c r="AD509" s="22"/>
      <c r="AE509" s="22"/>
      <c r="AF509" s="22"/>
      <c r="AG509" s="22"/>
      <c r="AH509" s="22"/>
      <c r="AI509" s="22"/>
      <c r="AJ509" s="22"/>
      <c r="AK509" s="22"/>
      <c r="AL509" s="22"/>
      <c r="AM509" s="22"/>
      <c r="AN509" s="22"/>
      <c r="AO509" s="22"/>
      <c r="AP509" s="22"/>
      <c r="AQ509" s="22"/>
    </row>
    <row r="510" spans="1:43"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2"/>
      <c r="Y510" s="22"/>
      <c r="Z510" s="22"/>
      <c r="AA510" s="22"/>
      <c r="AB510" s="22"/>
      <c r="AC510" s="22"/>
      <c r="AD510" s="22"/>
      <c r="AE510" s="22"/>
      <c r="AF510" s="22"/>
      <c r="AG510" s="22"/>
      <c r="AH510" s="22"/>
      <c r="AI510" s="22"/>
      <c r="AJ510" s="22"/>
      <c r="AK510" s="22"/>
      <c r="AL510" s="22"/>
      <c r="AM510" s="22"/>
      <c r="AN510" s="22"/>
      <c r="AO510" s="22"/>
      <c r="AP510" s="22"/>
      <c r="AQ510" s="22"/>
    </row>
    <row r="511" spans="1:43"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2"/>
      <c r="Y511" s="22"/>
      <c r="Z511" s="22"/>
      <c r="AA511" s="22"/>
      <c r="AB511" s="22"/>
      <c r="AC511" s="22"/>
      <c r="AD511" s="22"/>
      <c r="AE511" s="22"/>
      <c r="AF511" s="22"/>
      <c r="AG511" s="22"/>
      <c r="AH511" s="22"/>
      <c r="AI511" s="22"/>
      <c r="AJ511" s="22"/>
      <c r="AK511" s="22"/>
      <c r="AL511" s="22"/>
      <c r="AM511" s="22"/>
      <c r="AN511" s="22"/>
      <c r="AO511" s="22"/>
      <c r="AP511" s="22"/>
      <c r="AQ511" s="22"/>
    </row>
    <row r="512" spans="1:43"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2"/>
      <c r="Y512" s="22"/>
      <c r="Z512" s="22"/>
      <c r="AA512" s="22"/>
      <c r="AB512" s="22"/>
      <c r="AC512" s="22"/>
      <c r="AD512" s="22"/>
      <c r="AE512" s="22"/>
      <c r="AF512" s="22"/>
      <c r="AG512" s="22"/>
      <c r="AH512" s="22"/>
      <c r="AI512" s="22"/>
      <c r="AJ512" s="22"/>
      <c r="AK512" s="22"/>
      <c r="AL512" s="22"/>
      <c r="AM512" s="22"/>
      <c r="AN512" s="22"/>
      <c r="AO512" s="22"/>
      <c r="AP512" s="22"/>
      <c r="AQ512" s="22"/>
    </row>
    <row r="513" spans="1:43"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2"/>
      <c r="Y513" s="22"/>
      <c r="Z513" s="22"/>
      <c r="AA513" s="22"/>
      <c r="AB513" s="22"/>
      <c r="AC513" s="22"/>
      <c r="AD513" s="22"/>
      <c r="AE513" s="22"/>
      <c r="AF513" s="22"/>
      <c r="AG513" s="22"/>
      <c r="AH513" s="22"/>
      <c r="AI513" s="22"/>
      <c r="AJ513" s="22"/>
      <c r="AK513" s="22"/>
      <c r="AL513" s="22"/>
      <c r="AM513" s="22"/>
      <c r="AN513" s="22"/>
      <c r="AO513" s="22"/>
      <c r="AP513" s="22"/>
      <c r="AQ513" s="22"/>
    </row>
    <row r="514" spans="1:43"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2"/>
      <c r="Y514" s="22"/>
      <c r="Z514" s="22"/>
      <c r="AA514" s="22"/>
      <c r="AB514" s="22"/>
      <c r="AC514" s="22"/>
      <c r="AD514" s="22"/>
      <c r="AE514" s="22"/>
      <c r="AF514" s="22"/>
      <c r="AG514" s="22"/>
      <c r="AH514" s="22"/>
      <c r="AI514" s="22"/>
      <c r="AJ514" s="22"/>
      <c r="AK514" s="22"/>
      <c r="AL514" s="22"/>
      <c r="AM514" s="22"/>
      <c r="AN514" s="22"/>
      <c r="AO514" s="22"/>
      <c r="AP514" s="22"/>
      <c r="AQ514" s="22"/>
    </row>
    <row r="515" spans="1:43"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2"/>
      <c r="Y515" s="22"/>
      <c r="Z515" s="22"/>
      <c r="AA515" s="22"/>
      <c r="AB515" s="22"/>
      <c r="AC515" s="22"/>
      <c r="AD515" s="22"/>
      <c r="AE515" s="22"/>
      <c r="AF515" s="22"/>
      <c r="AG515" s="22"/>
      <c r="AH515" s="22"/>
      <c r="AI515" s="22"/>
      <c r="AJ515" s="22"/>
      <c r="AK515" s="22"/>
      <c r="AL515" s="22"/>
      <c r="AM515" s="22"/>
      <c r="AN515" s="22"/>
      <c r="AO515" s="22"/>
      <c r="AP515" s="22"/>
      <c r="AQ515" s="22"/>
    </row>
    <row r="516" spans="1:43"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2"/>
      <c r="Y516" s="22"/>
      <c r="Z516" s="22"/>
      <c r="AA516" s="22"/>
      <c r="AB516" s="22"/>
      <c r="AC516" s="22"/>
      <c r="AD516" s="22"/>
      <c r="AE516" s="22"/>
      <c r="AF516" s="22"/>
      <c r="AG516" s="22"/>
      <c r="AH516" s="22"/>
      <c r="AI516" s="22"/>
      <c r="AJ516" s="22"/>
      <c r="AK516" s="22"/>
      <c r="AL516" s="22"/>
      <c r="AM516" s="22"/>
      <c r="AN516" s="22"/>
      <c r="AO516" s="22"/>
      <c r="AP516" s="22"/>
      <c r="AQ516" s="22"/>
    </row>
    <row r="517" spans="1:43"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2"/>
      <c r="Y517" s="22"/>
      <c r="Z517" s="22"/>
      <c r="AA517" s="22"/>
      <c r="AB517" s="22"/>
      <c r="AC517" s="22"/>
      <c r="AD517" s="22"/>
      <c r="AE517" s="22"/>
      <c r="AF517" s="22"/>
      <c r="AG517" s="22"/>
      <c r="AH517" s="22"/>
      <c r="AI517" s="22"/>
      <c r="AJ517" s="22"/>
      <c r="AK517" s="22"/>
      <c r="AL517" s="22"/>
      <c r="AM517" s="22"/>
      <c r="AN517" s="22"/>
      <c r="AO517" s="22"/>
      <c r="AP517" s="22"/>
      <c r="AQ517" s="22"/>
    </row>
    <row r="518" spans="1:43"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2"/>
      <c r="Y518" s="22"/>
      <c r="Z518" s="22"/>
      <c r="AA518" s="22"/>
      <c r="AB518" s="22"/>
      <c r="AC518" s="22"/>
      <c r="AD518" s="22"/>
      <c r="AE518" s="22"/>
      <c r="AF518" s="22"/>
      <c r="AG518" s="22"/>
      <c r="AH518" s="22"/>
      <c r="AI518" s="22"/>
      <c r="AJ518" s="22"/>
      <c r="AK518" s="22"/>
      <c r="AL518" s="22"/>
      <c r="AM518" s="22"/>
      <c r="AN518" s="22"/>
      <c r="AO518" s="22"/>
      <c r="AP518" s="22"/>
      <c r="AQ518" s="22"/>
    </row>
    <row r="519" spans="1:43"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2"/>
      <c r="Y519" s="22"/>
      <c r="Z519" s="22"/>
      <c r="AA519" s="22"/>
      <c r="AB519" s="22"/>
      <c r="AC519" s="22"/>
      <c r="AD519" s="22"/>
      <c r="AE519" s="22"/>
      <c r="AF519" s="22"/>
      <c r="AG519" s="22"/>
      <c r="AH519" s="22"/>
      <c r="AI519" s="22"/>
      <c r="AJ519" s="22"/>
      <c r="AK519" s="22"/>
      <c r="AL519" s="22"/>
      <c r="AM519" s="22"/>
      <c r="AN519" s="22"/>
      <c r="AO519" s="22"/>
      <c r="AP519" s="22"/>
      <c r="AQ519" s="22"/>
    </row>
    <row r="520" spans="1:43"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2"/>
      <c r="Y520" s="22"/>
      <c r="Z520" s="22"/>
      <c r="AA520" s="22"/>
      <c r="AB520" s="22"/>
      <c r="AC520" s="22"/>
      <c r="AD520" s="22"/>
      <c r="AE520" s="22"/>
      <c r="AF520" s="22"/>
      <c r="AG520" s="22"/>
      <c r="AH520" s="22"/>
      <c r="AI520" s="22"/>
      <c r="AJ520" s="22"/>
      <c r="AK520" s="22"/>
      <c r="AL520" s="22"/>
      <c r="AM520" s="22"/>
      <c r="AN520" s="22"/>
      <c r="AO520" s="22"/>
      <c r="AP520" s="22"/>
      <c r="AQ520" s="22"/>
    </row>
    <row r="521" spans="1:43"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2"/>
      <c r="Y521" s="22"/>
      <c r="Z521" s="22"/>
      <c r="AA521" s="22"/>
      <c r="AB521" s="22"/>
      <c r="AC521" s="22"/>
      <c r="AD521" s="22"/>
      <c r="AE521" s="22"/>
      <c r="AF521" s="22"/>
      <c r="AG521" s="22"/>
      <c r="AH521" s="22"/>
      <c r="AI521" s="22"/>
      <c r="AJ521" s="22"/>
      <c r="AK521" s="22"/>
      <c r="AL521" s="22"/>
      <c r="AM521" s="22"/>
      <c r="AN521" s="22"/>
      <c r="AO521" s="22"/>
      <c r="AP521" s="22"/>
      <c r="AQ521" s="22"/>
    </row>
    <row r="522" spans="1:43"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2"/>
      <c r="Y522" s="22"/>
      <c r="Z522" s="22"/>
      <c r="AA522" s="22"/>
      <c r="AB522" s="22"/>
      <c r="AC522" s="22"/>
      <c r="AD522" s="22"/>
      <c r="AE522" s="22"/>
      <c r="AF522" s="22"/>
      <c r="AG522" s="22"/>
      <c r="AH522" s="22"/>
      <c r="AI522" s="22"/>
      <c r="AJ522" s="22"/>
      <c r="AK522" s="22"/>
      <c r="AL522" s="22"/>
      <c r="AM522" s="22"/>
      <c r="AN522" s="22"/>
      <c r="AO522" s="22"/>
      <c r="AP522" s="22"/>
      <c r="AQ522" s="22"/>
    </row>
    <row r="523" spans="1:43"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2"/>
      <c r="Y523" s="22"/>
      <c r="Z523" s="22"/>
      <c r="AA523" s="22"/>
      <c r="AB523" s="22"/>
      <c r="AC523" s="22"/>
      <c r="AD523" s="22"/>
      <c r="AE523" s="22"/>
      <c r="AF523" s="22"/>
      <c r="AG523" s="22"/>
      <c r="AH523" s="22"/>
      <c r="AI523" s="22"/>
      <c r="AJ523" s="22"/>
      <c r="AK523" s="22"/>
      <c r="AL523" s="22"/>
      <c r="AM523" s="22"/>
      <c r="AN523" s="22"/>
      <c r="AO523" s="22"/>
      <c r="AP523" s="22"/>
      <c r="AQ523" s="22"/>
    </row>
    <row r="524" spans="1:43"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2"/>
      <c r="Y524" s="22"/>
      <c r="Z524" s="22"/>
      <c r="AA524" s="22"/>
      <c r="AB524" s="22"/>
      <c r="AC524" s="22"/>
      <c r="AD524" s="22"/>
      <c r="AE524" s="22"/>
      <c r="AF524" s="22"/>
      <c r="AG524" s="22"/>
      <c r="AH524" s="22"/>
      <c r="AI524" s="22"/>
      <c r="AJ524" s="22"/>
      <c r="AK524" s="22"/>
      <c r="AL524" s="22"/>
      <c r="AM524" s="22"/>
      <c r="AN524" s="22"/>
      <c r="AO524" s="22"/>
      <c r="AP524" s="22"/>
      <c r="AQ524" s="22"/>
    </row>
    <row r="525" spans="1:43"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2"/>
      <c r="Y525" s="22"/>
      <c r="Z525" s="22"/>
      <c r="AA525" s="22"/>
      <c r="AB525" s="22"/>
      <c r="AC525" s="22"/>
      <c r="AD525" s="22"/>
      <c r="AE525" s="22"/>
      <c r="AF525" s="22"/>
      <c r="AG525" s="22"/>
      <c r="AH525" s="22"/>
      <c r="AI525" s="22"/>
      <c r="AJ525" s="22"/>
      <c r="AK525" s="22"/>
      <c r="AL525" s="22"/>
      <c r="AM525" s="22"/>
      <c r="AN525" s="22"/>
      <c r="AO525" s="22"/>
      <c r="AP525" s="22"/>
      <c r="AQ525" s="22"/>
    </row>
    <row r="526" spans="1:43"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2"/>
      <c r="Y526" s="22"/>
      <c r="Z526" s="22"/>
      <c r="AA526" s="22"/>
      <c r="AB526" s="22"/>
      <c r="AC526" s="22"/>
      <c r="AD526" s="22"/>
      <c r="AE526" s="22"/>
      <c r="AF526" s="22"/>
      <c r="AG526" s="22"/>
      <c r="AH526" s="22"/>
      <c r="AI526" s="22"/>
      <c r="AJ526" s="22"/>
      <c r="AK526" s="22"/>
      <c r="AL526" s="22"/>
      <c r="AM526" s="22"/>
      <c r="AN526" s="22"/>
      <c r="AO526" s="22"/>
      <c r="AP526" s="22"/>
      <c r="AQ526" s="22"/>
    </row>
    <row r="527" spans="1:43"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2"/>
      <c r="Y527" s="22"/>
      <c r="Z527" s="22"/>
      <c r="AA527" s="22"/>
      <c r="AB527" s="22"/>
      <c r="AC527" s="22"/>
      <c r="AD527" s="22"/>
      <c r="AE527" s="22"/>
      <c r="AF527" s="22"/>
      <c r="AG527" s="22"/>
      <c r="AH527" s="22"/>
      <c r="AI527" s="22"/>
      <c r="AJ527" s="22"/>
      <c r="AK527" s="22"/>
      <c r="AL527" s="22"/>
      <c r="AM527" s="22"/>
      <c r="AN527" s="22"/>
      <c r="AO527" s="22"/>
      <c r="AP527" s="22"/>
      <c r="AQ527" s="22"/>
    </row>
    <row r="528" spans="1:43"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2"/>
      <c r="Y528" s="22"/>
      <c r="Z528" s="22"/>
      <c r="AA528" s="22"/>
      <c r="AB528" s="22"/>
      <c r="AC528" s="22"/>
      <c r="AD528" s="22"/>
      <c r="AE528" s="22"/>
      <c r="AF528" s="22"/>
      <c r="AG528" s="22"/>
      <c r="AH528" s="22"/>
      <c r="AI528" s="22"/>
      <c r="AJ528" s="22"/>
      <c r="AK528" s="22"/>
      <c r="AL528" s="22"/>
      <c r="AM528" s="22"/>
      <c r="AN528" s="22"/>
      <c r="AO528" s="22"/>
      <c r="AP528" s="22"/>
      <c r="AQ528" s="22"/>
    </row>
    <row r="529" spans="1:43"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2"/>
      <c r="Y529" s="22"/>
      <c r="Z529" s="22"/>
      <c r="AA529" s="22"/>
      <c r="AB529" s="22"/>
      <c r="AC529" s="22"/>
      <c r="AD529" s="22"/>
      <c r="AE529" s="22"/>
      <c r="AF529" s="22"/>
      <c r="AG529" s="22"/>
      <c r="AH529" s="22"/>
      <c r="AI529" s="22"/>
      <c r="AJ529" s="22"/>
      <c r="AK529" s="22"/>
      <c r="AL529" s="22"/>
      <c r="AM529" s="22"/>
      <c r="AN529" s="22"/>
      <c r="AO529" s="22"/>
      <c r="AP529" s="22"/>
      <c r="AQ529" s="22"/>
    </row>
    <row r="530" spans="1:43"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2"/>
      <c r="Y530" s="22"/>
      <c r="Z530" s="22"/>
      <c r="AA530" s="22"/>
      <c r="AB530" s="22"/>
      <c r="AC530" s="22"/>
      <c r="AD530" s="22"/>
      <c r="AE530" s="22"/>
      <c r="AF530" s="22"/>
      <c r="AG530" s="22"/>
      <c r="AH530" s="22"/>
      <c r="AI530" s="22"/>
      <c r="AJ530" s="22"/>
      <c r="AK530" s="22"/>
      <c r="AL530" s="22"/>
      <c r="AM530" s="22"/>
      <c r="AN530" s="22"/>
      <c r="AO530" s="22"/>
      <c r="AP530" s="22"/>
      <c r="AQ530" s="22"/>
    </row>
    <row r="531" spans="1:43"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2"/>
      <c r="Y531" s="22"/>
      <c r="Z531" s="22"/>
      <c r="AA531" s="22"/>
      <c r="AB531" s="22"/>
      <c r="AC531" s="22"/>
      <c r="AD531" s="22"/>
      <c r="AE531" s="22"/>
      <c r="AF531" s="22"/>
      <c r="AG531" s="22"/>
      <c r="AH531" s="22"/>
      <c r="AI531" s="22"/>
      <c r="AJ531" s="22"/>
      <c r="AK531" s="22"/>
      <c r="AL531" s="22"/>
      <c r="AM531" s="22"/>
      <c r="AN531" s="22"/>
      <c r="AO531" s="22"/>
      <c r="AP531" s="22"/>
      <c r="AQ531" s="22"/>
    </row>
    <row r="532" spans="1:43"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2"/>
      <c r="Y532" s="22"/>
      <c r="Z532" s="22"/>
      <c r="AA532" s="22"/>
      <c r="AB532" s="22"/>
      <c r="AC532" s="22"/>
      <c r="AD532" s="22"/>
      <c r="AE532" s="22"/>
      <c r="AF532" s="22"/>
      <c r="AG532" s="22"/>
      <c r="AH532" s="22"/>
      <c r="AI532" s="22"/>
      <c r="AJ532" s="22"/>
      <c r="AK532" s="22"/>
      <c r="AL532" s="22"/>
      <c r="AM532" s="22"/>
      <c r="AN532" s="22"/>
      <c r="AO532" s="22"/>
      <c r="AP532" s="22"/>
      <c r="AQ532" s="22"/>
    </row>
    <row r="533" spans="1:43"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2"/>
      <c r="Y533" s="22"/>
      <c r="Z533" s="22"/>
      <c r="AA533" s="22"/>
      <c r="AB533" s="22"/>
      <c r="AC533" s="22"/>
      <c r="AD533" s="22"/>
      <c r="AE533" s="22"/>
      <c r="AF533" s="22"/>
      <c r="AG533" s="22"/>
      <c r="AH533" s="22"/>
      <c r="AI533" s="22"/>
      <c r="AJ533" s="22"/>
      <c r="AK533" s="22"/>
      <c r="AL533" s="22"/>
      <c r="AM533" s="22"/>
      <c r="AN533" s="22"/>
      <c r="AO533" s="22"/>
      <c r="AP533" s="22"/>
      <c r="AQ533" s="22"/>
    </row>
    <row r="534" spans="1:43"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2"/>
      <c r="Y534" s="22"/>
      <c r="Z534" s="22"/>
      <c r="AA534" s="22"/>
      <c r="AB534" s="22"/>
      <c r="AC534" s="22"/>
      <c r="AD534" s="22"/>
      <c r="AE534" s="22"/>
      <c r="AF534" s="22"/>
      <c r="AG534" s="22"/>
      <c r="AH534" s="22"/>
      <c r="AI534" s="22"/>
      <c r="AJ534" s="22"/>
      <c r="AK534" s="22"/>
      <c r="AL534" s="22"/>
      <c r="AM534" s="22"/>
      <c r="AN534" s="22"/>
      <c r="AO534" s="22"/>
      <c r="AP534" s="22"/>
      <c r="AQ534" s="22"/>
    </row>
    <row r="535" spans="1:43"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2"/>
      <c r="Y535" s="22"/>
      <c r="Z535" s="22"/>
      <c r="AA535" s="22"/>
      <c r="AB535" s="22"/>
      <c r="AC535" s="22"/>
      <c r="AD535" s="22"/>
      <c r="AE535" s="22"/>
      <c r="AF535" s="22"/>
      <c r="AG535" s="22"/>
      <c r="AH535" s="22"/>
      <c r="AI535" s="22"/>
      <c r="AJ535" s="22"/>
      <c r="AK535" s="22"/>
      <c r="AL535" s="22"/>
      <c r="AM535" s="22"/>
      <c r="AN535" s="22"/>
      <c r="AO535" s="22"/>
      <c r="AP535" s="22"/>
      <c r="AQ535" s="22"/>
    </row>
    <row r="536" spans="1:43"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2"/>
      <c r="Y536" s="22"/>
      <c r="Z536" s="22"/>
      <c r="AA536" s="22"/>
      <c r="AB536" s="22"/>
      <c r="AC536" s="22"/>
      <c r="AD536" s="22"/>
      <c r="AE536" s="22"/>
      <c r="AF536" s="22"/>
      <c r="AG536" s="22"/>
      <c r="AH536" s="22"/>
      <c r="AI536" s="22"/>
      <c r="AJ536" s="22"/>
      <c r="AK536" s="22"/>
      <c r="AL536" s="22"/>
      <c r="AM536" s="22"/>
      <c r="AN536" s="22"/>
      <c r="AO536" s="22"/>
      <c r="AP536" s="22"/>
      <c r="AQ536" s="22"/>
    </row>
    <row r="537" spans="1:43"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2"/>
      <c r="Y537" s="22"/>
      <c r="Z537" s="22"/>
      <c r="AA537" s="22"/>
      <c r="AB537" s="22"/>
      <c r="AC537" s="22"/>
      <c r="AD537" s="22"/>
      <c r="AE537" s="22"/>
      <c r="AF537" s="22"/>
      <c r="AG537" s="22"/>
      <c r="AH537" s="22"/>
      <c r="AI537" s="22"/>
      <c r="AJ537" s="22"/>
      <c r="AK537" s="22"/>
      <c r="AL537" s="22"/>
      <c r="AM537" s="22"/>
      <c r="AN537" s="22"/>
      <c r="AO537" s="22"/>
      <c r="AP537" s="22"/>
      <c r="AQ537" s="22"/>
    </row>
    <row r="538" spans="1:43"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2"/>
      <c r="Y538" s="22"/>
      <c r="Z538" s="22"/>
      <c r="AA538" s="22"/>
      <c r="AB538" s="22"/>
      <c r="AC538" s="22"/>
      <c r="AD538" s="22"/>
      <c r="AE538" s="22"/>
      <c r="AF538" s="22"/>
      <c r="AG538" s="22"/>
      <c r="AH538" s="22"/>
      <c r="AI538" s="22"/>
      <c r="AJ538" s="22"/>
      <c r="AK538" s="22"/>
      <c r="AL538" s="22"/>
      <c r="AM538" s="22"/>
      <c r="AN538" s="22"/>
      <c r="AO538" s="22"/>
      <c r="AP538" s="22"/>
      <c r="AQ538" s="22"/>
    </row>
    <row r="539" spans="1:43"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2"/>
      <c r="Y539" s="22"/>
      <c r="Z539" s="22"/>
      <c r="AA539" s="22"/>
      <c r="AB539" s="22"/>
      <c r="AC539" s="22"/>
      <c r="AD539" s="22"/>
      <c r="AE539" s="22"/>
      <c r="AF539" s="22"/>
      <c r="AG539" s="22"/>
      <c r="AH539" s="22"/>
      <c r="AI539" s="22"/>
      <c r="AJ539" s="22"/>
      <c r="AK539" s="22"/>
      <c r="AL539" s="22"/>
      <c r="AM539" s="22"/>
      <c r="AN539" s="22"/>
      <c r="AO539" s="22"/>
      <c r="AP539" s="22"/>
      <c r="AQ539" s="22"/>
    </row>
    <row r="540" spans="1:43"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2"/>
      <c r="Y540" s="22"/>
      <c r="Z540" s="22"/>
      <c r="AA540" s="22"/>
      <c r="AB540" s="22"/>
      <c r="AC540" s="22"/>
      <c r="AD540" s="22"/>
      <c r="AE540" s="22"/>
      <c r="AF540" s="22"/>
      <c r="AG540" s="22"/>
      <c r="AH540" s="22"/>
      <c r="AI540" s="22"/>
      <c r="AJ540" s="22"/>
      <c r="AK540" s="22"/>
      <c r="AL540" s="22"/>
      <c r="AM540" s="22"/>
      <c r="AN540" s="22"/>
      <c r="AO540" s="22"/>
      <c r="AP540" s="22"/>
      <c r="AQ540" s="22"/>
    </row>
    <row r="541" spans="1:43"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2"/>
      <c r="Y541" s="22"/>
      <c r="Z541" s="22"/>
      <c r="AA541" s="22"/>
      <c r="AB541" s="22"/>
      <c r="AC541" s="22"/>
      <c r="AD541" s="22"/>
      <c r="AE541" s="22"/>
      <c r="AF541" s="22"/>
      <c r="AG541" s="22"/>
      <c r="AH541" s="22"/>
      <c r="AI541" s="22"/>
      <c r="AJ541" s="22"/>
      <c r="AK541" s="22"/>
      <c r="AL541" s="22"/>
      <c r="AM541" s="22"/>
      <c r="AN541" s="22"/>
      <c r="AO541" s="22"/>
      <c r="AP541" s="22"/>
      <c r="AQ541" s="22"/>
    </row>
    <row r="542" spans="1:43"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2"/>
      <c r="Y542" s="22"/>
      <c r="Z542" s="22"/>
      <c r="AA542" s="22"/>
      <c r="AB542" s="22"/>
      <c r="AC542" s="22"/>
      <c r="AD542" s="22"/>
      <c r="AE542" s="22"/>
      <c r="AF542" s="22"/>
      <c r="AG542" s="22"/>
      <c r="AH542" s="22"/>
      <c r="AI542" s="22"/>
      <c r="AJ542" s="22"/>
      <c r="AK542" s="22"/>
      <c r="AL542" s="22"/>
      <c r="AM542" s="22"/>
      <c r="AN542" s="22"/>
      <c r="AO542" s="22"/>
      <c r="AP542" s="22"/>
      <c r="AQ542" s="22"/>
    </row>
    <row r="543" spans="1:43"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2"/>
      <c r="Y543" s="22"/>
      <c r="Z543" s="22"/>
      <c r="AA543" s="22"/>
      <c r="AB543" s="22"/>
      <c r="AC543" s="22"/>
      <c r="AD543" s="22"/>
      <c r="AE543" s="22"/>
      <c r="AF543" s="22"/>
      <c r="AG543" s="22"/>
      <c r="AH543" s="22"/>
      <c r="AI543" s="22"/>
      <c r="AJ543" s="22"/>
      <c r="AK543" s="22"/>
      <c r="AL543" s="22"/>
      <c r="AM543" s="22"/>
      <c r="AN543" s="22"/>
      <c r="AO543" s="22"/>
      <c r="AP543" s="22"/>
      <c r="AQ543" s="22"/>
    </row>
    <row r="544" spans="1:43"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2"/>
      <c r="Y544" s="22"/>
      <c r="Z544" s="22"/>
      <c r="AA544" s="22"/>
      <c r="AB544" s="22"/>
      <c r="AC544" s="22"/>
      <c r="AD544" s="22"/>
      <c r="AE544" s="22"/>
      <c r="AF544" s="22"/>
      <c r="AG544" s="22"/>
      <c r="AH544" s="22"/>
      <c r="AI544" s="22"/>
      <c r="AJ544" s="22"/>
      <c r="AK544" s="22"/>
      <c r="AL544" s="22"/>
      <c r="AM544" s="22"/>
      <c r="AN544" s="22"/>
      <c r="AO544" s="22"/>
      <c r="AP544" s="22"/>
      <c r="AQ544" s="22"/>
    </row>
    <row r="545" spans="1:43"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2"/>
      <c r="Y545" s="22"/>
      <c r="Z545" s="22"/>
      <c r="AA545" s="22"/>
      <c r="AB545" s="22"/>
      <c r="AC545" s="22"/>
      <c r="AD545" s="22"/>
      <c r="AE545" s="22"/>
      <c r="AF545" s="22"/>
      <c r="AG545" s="22"/>
      <c r="AH545" s="22"/>
      <c r="AI545" s="22"/>
      <c r="AJ545" s="22"/>
      <c r="AK545" s="22"/>
      <c r="AL545" s="22"/>
      <c r="AM545" s="22"/>
      <c r="AN545" s="22"/>
      <c r="AO545" s="22"/>
      <c r="AP545" s="22"/>
      <c r="AQ545" s="22"/>
    </row>
    <row r="546" spans="1:43"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2"/>
      <c r="Y546" s="22"/>
      <c r="Z546" s="22"/>
      <c r="AA546" s="22"/>
      <c r="AB546" s="22"/>
      <c r="AC546" s="22"/>
      <c r="AD546" s="22"/>
      <c r="AE546" s="22"/>
      <c r="AF546" s="22"/>
      <c r="AG546" s="22"/>
      <c r="AH546" s="22"/>
      <c r="AI546" s="22"/>
      <c r="AJ546" s="22"/>
      <c r="AK546" s="22"/>
      <c r="AL546" s="22"/>
      <c r="AM546" s="22"/>
      <c r="AN546" s="22"/>
      <c r="AO546" s="22"/>
      <c r="AP546" s="22"/>
      <c r="AQ546" s="22"/>
    </row>
    <row r="547" spans="1:43"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2"/>
      <c r="Y547" s="22"/>
      <c r="Z547" s="22"/>
      <c r="AA547" s="22"/>
      <c r="AB547" s="22"/>
      <c r="AC547" s="22"/>
      <c r="AD547" s="22"/>
      <c r="AE547" s="22"/>
      <c r="AF547" s="22"/>
      <c r="AG547" s="22"/>
      <c r="AH547" s="22"/>
      <c r="AI547" s="22"/>
      <c r="AJ547" s="22"/>
      <c r="AK547" s="22"/>
      <c r="AL547" s="22"/>
      <c r="AM547" s="22"/>
      <c r="AN547" s="22"/>
      <c r="AO547" s="22"/>
      <c r="AP547" s="22"/>
      <c r="AQ547" s="22"/>
    </row>
    <row r="548" spans="1:43"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2"/>
      <c r="Y548" s="22"/>
      <c r="Z548" s="22"/>
      <c r="AA548" s="22"/>
      <c r="AB548" s="22"/>
      <c r="AC548" s="22"/>
      <c r="AD548" s="22"/>
      <c r="AE548" s="22"/>
      <c r="AF548" s="22"/>
      <c r="AG548" s="22"/>
      <c r="AH548" s="22"/>
      <c r="AI548" s="22"/>
      <c r="AJ548" s="22"/>
      <c r="AK548" s="22"/>
      <c r="AL548" s="22"/>
      <c r="AM548" s="22"/>
      <c r="AN548" s="22"/>
      <c r="AO548" s="22"/>
      <c r="AP548" s="22"/>
      <c r="AQ548" s="22"/>
    </row>
    <row r="549" spans="1:43"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2"/>
      <c r="Y549" s="22"/>
      <c r="Z549" s="22"/>
      <c r="AA549" s="22"/>
      <c r="AB549" s="22"/>
      <c r="AC549" s="22"/>
      <c r="AD549" s="22"/>
      <c r="AE549" s="22"/>
      <c r="AF549" s="22"/>
      <c r="AG549" s="22"/>
      <c r="AH549" s="22"/>
      <c r="AI549" s="22"/>
      <c r="AJ549" s="22"/>
      <c r="AK549" s="22"/>
      <c r="AL549" s="22"/>
      <c r="AM549" s="22"/>
      <c r="AN549" s="22"/>
      <c r="AO549" s="22"/>
      <c r="AP549" s="22"/>
      <c r="AQ549" s="22"/>
    </row>
    <row r="550" spans="1:43"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2"/>
      <c r="Y550" s="22"/>
      <c r="Z550" s="22"/>
      <c r="AA550" s="22"/>
      <c r="AB550" s="22"/>
      <c r="AC550" s="22"/>
      <c r="AD550" s="22"/>
      <c r="AE550" s="22"/>
      <c r="AF550" s="22"/>
      <c r="AG550" s="22"/>
      <c r="AH550" s="22"/>
      <c r="AI550" s="22"/>
      <c r="AJ550" s="22"/>
      <c r="AK550" s="22"/>
      <c r="AL550" s="22"/>
      <c r="AM550" s="22"/>
      <c r="AN550" s="22"/>
      <c r="AO550" s="22"/>
      <c r="AP550" s="22"/>
      <c r="AQ550" s="22"/>
    </row>
    <row r="551" spans="1:43"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2"/>
      <c r="Y551" s="22"/>
      <c r="Z551" s="22"/>
      <c r="AA551" s="22"/>
      <c r="AB551" s="22"/>
      <c r="AC551" s="22"/>
      <c r="AD551" s="22"/>
      <c r="AE551" s="22"/>
      <c r="AF551" s="22"/>
      <c r="AG551" s="22"/>
      <c r="AH551" s="22"/>
      <c r="AI551" s="22"/>
      <c r="AJ551" s="22"/>
      <c r="AK551" s="22"/>
      <c r="AL551" s="22"/>
      <c r="AM551" s="22"/>
      <c r="AN551" s="22"/>
      <c r="AO551" s="22"/>
      <c r="AP551" s="22"/>
      <c r="AQ551" s="22"/>
    </row>
    <row r="552" spans="1:43"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2"/>
      <c r="Y552" s="22"/>
      <c r="Z552" s="22"/>
      <c r="AA552" s="22"/>
      <c r="AB552" s="22"/>
      <c r="AC552" s="22"/>
      <c r="AD552" s="22"/>
      <c r="AE552" s="22"/>
      <c r="AF552" s="22"/>
      <c r="AG552" s="22"/>
      <c r="AH552" s="22"/>
      <c r="AI552" s="22"/>
      <c r="AJ552" s="22"/>
      <c r="AK552" s="22"/>
      <c r="AL552" s="22"/>
      <c r="AM552" s="22"/>
      <c r="AN552" s="22"/>
      <c r="AO552" s="22"/>
      <c r="AP552" s="22"/>
      <c r="AQ552" s="22"/>
    </row>
    <row r="553" spans="1:43"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2"/>
      <c r="Y553" s="22"/>
      <c r="Z553" s="22"/>
      <c r="AA553" s="22"/>
      <c r="AB553" s="22"/>
      <c r="AC553" s="22"/>
      <c r="AD553" s="22"/>
      <c r="AE553" s="22"/>
      <c r="AF553" s="22"/>
      <c r="AG553" s="22"/>
      <c r="AH553" s="22"/>
      <c r="AI553" s="22"/>
      <c r="AJ553" s="22"/>
      <c r="AK553" s="22"/>
      <c r="AL553" s="22"/>
      <c r="AM553" s="22"/>
      <c r="AN553" s="22"/>
      <c r="AO553" s="22"/>
      <c r="AP553" s="22"/>
      <c r="AQ553" s="22"/>
    </row>
    <row r="554" spans="1:43"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2"/>
      <c r="Y554" s="22"/>
      <c r="Z554" s="22"/>
      <c r="AA554" s="22"/>
      <c r="AB554" s="22"/>
      <c r="AC554" s="22"/>
      <c r="AD554" s="22"/>
      <c r="AE554" s="22"/>
      <c r="AF554" s="22"/>
      <c r="AG554" s="22"/>
      <c r="AH554" s="22"/>
      <c r="AI554" s="22"/>
      <c r="AJ554" s="22"/>
      <c r="AK554" s="22"/>
      <c r="AL554" s="22"/>
      <c r="AM554" s="22"/>
      <c r="AN554" s="22"/>
      <c r="AO554" s="22"/>
      <c r="AP554" s="22"/>
      <c r="AQ554" s="22"/>
    </row>
    <row r="555" spans="1:43"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2"/>
      <c r="Y555" s="22"/>
      <c r="Z555" s="22"/>
      <c r="AA555" s="22"/>
      <c r="AB555" s="22"/>
      <c r="AC555" s="22"/>
      <c r="AD555" s="22"/>
      <c r="AE555" s="22"/>
      <c r="AF555" s="22"/>
      <c r="AG555" s="22"/>
      <c r="AH555" s="22"/>
      <c r="AI555" s="22"/>
      <c r="AJ555" s="22"/>
      <c r="AK555" s="22"/>
      <c r="AL555" s="22"/>
      <c r="AM555" s="22"/>
      <c r="AN555" s="22"/>
      <c r="AO555" s="22"/>
      <c r="AP555" s="22"/>
      <c r="AQ555" s="22"/>
    </row>
    <row r="556" spans="1:43"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2"/>
      <c r="Y556" s="22"/>
      <c r="Z556" s="22"/>
      <c r="AA556" s="22"/>
      <c r="AB556" s="22"/>
      <c r="AC556" s="22"/>
      <c r="AD556" s="22"/>
      <c r="AE556" s="22"/>
      <c r="AF556" s="22"/>
      <c r="AG556" s="22"/>
      <c r="AH556" s="22"/>
      <c r="AI556" s="22"/>
      <c r="AJ556" s="22"/>
      <c r="AK556" s="22"/>
      <c r="AL556" s="22"/>
      <c r="AM556" s="22"/>
      <c r="AN556" s="22"/>
      <c r="AO556" s="22"/>
      <c r="AP556" s="22"/>
      <c r="AQ556" s="22"/>
    </row>
    <row r="557" spans="1:43"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2"/>
      <c r="Y557" s="22"/>
      <c r="Z557" s="22"/>
      <c r="AA557" s="22"/>
      <c r="AB557" s="22"/>
      <c r="AC557" s="22"/>
      <c r="AD557" s="22"/>
      <c r="AE557" s="22"/>
      <c r="AF557" s="22"/>
      <c r="AG557" s="22"/>
      <c r="AH557" s="22"/>
      <c r="AI557" s="22"/>
      <c r="AJ557" s="22"/>
      <c r="AK557" s="22"/>
      <c r="AL557" s="22"/>
      <c r="AM557" s="22"/>
      <c r="AN557" s="22"/>
      <c r="AO557" s="22"/>
      <c r="AP557" s="22"/>
      <c r="AQ557" s="22"/>
    </row>
    <row r="558" spans="1:43"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2"/>
      <c r="Y558" s="22"/>
      <c r="Z558" s="22"/>
      <c r="AA558" s="22"/>
      <c r="AB558" s="22"/>
      <c r="AC558" s="22"/>
      <c r="AD558" s="22"/>
      <c r="AE558" s="22"/>
      <c r="AF558" s="22"/>
      <c r="AG558" s="22"/>
      <c r="AH558" s="22"/>
      <c r="AI558" s="22"/>
      <c r="AJ558" s="22"/>
      <c r="AK558" s="22"/>
      <c r="AL558" s="22"/>
      <c r="AM558" s="22"/>
      <c r="AN558" s="22"/>
      <c r="AO558" s="22"/>
      <c r="AP558" s="22"/>
      <c r="AQ558" s="22"/>
    </row>
    <row r="559" spans="1:43"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2"/>
      <c r="Y559" s="22"/>
      <c r="Z559" s="22"/>
      <c r="AA559" s="22"/>
      <c r="AB559" s="22"/>
      <c r="AC559" s="22"/>
      <c r="AD559" s="22"/>
      <c r="AE559" s="22"/>
      <c r="AF559" s="22"/>
      <c r="AG559" s="22"/>
      <c r="AH559" s="22"/>
      <c r="AI559" s="22"/>
      <c r="AJ559" s="22"/>
      <c r="AK559" s="22"/>
      <c r="AL559" s="22"/>
      <c r="AM559" s="22"/>
      <c r="AN559" s="22"/>
      <c r="AO559" s="22"/>
      <c r="AP559" s="22"/>
      <c r="AQ559" s="22"/>
    </row>
    <row r="560" spans="1:43"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2"/>
      <c r="Y560" s="22"/>
      <c r="Z560" s="22"/>
      <c r="AA560" s="22"/>
      <c r="AB560" s="22"/>
      <c r="AC560" s="22"/>
      <c r="AD560" s="22"/>
      <c r="AE560" s="22"/>
      <c r="AF560" s="22"/>
      <c r="AG560" s="22"/>
      <c r="AH560" s="22"/>
      <c r="AI560" s="22"/>
      <c r="AJ560" s="22"/>
      <c r="AK560" s="22"/>
      <c r="AL560" s="22"/>
      <c r="AM560" s="22"/>
      <c r="AN560" s="22"/>
      <c r="AO560" s="22"/>
      <c r="AP560" s="22"/>
      <c r="AQ560" s="22"/>
    </row>
    <row r="561" spans="1:43"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2"/>
      <c r="Y561" s="22"/>
      <c r="Z561" s="22"/>
      <c r="AA561" s="22"/>
      <c r="AB561" s="22"/>
      <c r="AC561" s="22"/>
      <c r="AD561" s="22"/>
      <c r="AE561" s="22"/>
      <c r="AF561" s="22"/>
      <c r="AG561" s="22"/>
      <c r="AH561" s="22"/>
      <c r="AI561" s="22"/>
      <c r="AJ561" s="22"/>
      <c r="AK561" s="22"/>
      <c r="AL561" s="22"/>
      <c r="AM561" s="22"/>
      <c r="AN561" s="22"/>
      <c r="AO561" s="22"/>
      <c r="AP561" s="22"/>
      <c r="AQ561" s="22"/>
    </row>
    <row r="562" spans="1:43"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2"/>
      <c r="Y562" s="22"/>
      <c r="Z562" s="22"/>
      <c r="AA562" s="22"/>
      <c r="AB562" s="22"/>
      <c r="AC562" s="22"/>
      <c r="AD562" s="22"/>
      <c r="AE562" s="22"/>
      <c r="AF562" s="22"/>
      <c r="AG562" s="22"/>
      <c r="AH562" s="22"/>
      <c r="AI562" s="22"/>
      <c r="AJ562" s="22"/>
      <c r="AK562" s="22"/>
      <c r="AL562" s="22"/>
      <c r="AM562" s="22"/>
      <c r="AN562" s="22"/>
      <c r="AO562" s="22"/>
      <c r="AP562" s="22"/>
      <c r="AQ562" s="22"/>
    </row>
    <row r="563" spans="1:43"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2"/>
      <c r="Y563" s="22"/>
      <c r="Z563" s="22"/>
      <c r="AA563" s="22"/>
      <c r="AB563" s="22"/>
      <c r="AC563" s="22"/>
      <c r="AD563" s="22"/>
      <c r="AE563" s="22"/>
      <c r="AF563" s="22"/>
      <c r="AG563" s="22"/>
      <c r="AH563" s="22"/>
      <c r="AI563" s="22"/>
      <c r="AJ563" s="22"/>
      <c r="AK563" s="22"/>
      <c r="AL563" s="22"/>
      <c r="AM563" s="22"/>
      <c r="AN563" s="22"/>
      <c r="AO563" s="22"/>
      <c r="AP563" s="22"/>
      <c r="AQ563" s="22"/>
    </row>
    <row r="564" spans="1:43"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2"/>
      <c r="Y564" s="22"/>
      <c r="Z564" s="22"/>
      <c r="AA564" s="22"/>
      <c r="AB564" s="22"/>
      <c r="AC564" s="22"/>
      <c r="AD564" s="22"/>
      <c r="AE564" s="22"/>
      <c r="AF564" s="22"/>
      <c r="AG564" s="22"/>
      <c r="AH564" s="22"/>
      <c r="AI564" s="22"/>
      <c r="AJ564" s="22"/>
      <c r="AK564" s="22"/>
      <c r="AL564" s="22"/>
      <c r="AM564" s="22"/>
      <c r="AN564" s="22"/>
      <c r="AO564" s="22"/>
      <c r="AP564" s="22"/>
      <c r="AQ564" s="22"/>
    </row>
    <row r="565" spans="1:43"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2"/>
      <c r="Y565" s="22"/>
      <c r="Z565" s="22"/>
      <c r="AA565" s="22"/>
      <c r="AB565" s="22"/>
      <c r="AC565" s="22"/>
      <c r="AD565" s="22"/>
      <c r="AE565" s="22"/>
      <c r="AF565" s="22"/>
      <c r="AG565" s="22"/>
      <c r="AH565" s="22"/>
      <c r="AI565" s="22"/>
      <c r="AJ565" s="22"/>
      <c r="AK565" s="22"/>
      <c r="AL565" s="22"/>
      <c r="AM565" s="22"/>
      <c r="AN565" s="22"/>
      <c r="AO565" s="22"/>
      <c r="AP565" s="22"/>
      <c r="AQ565" s="22"/>
    </row>
    <row r="566" spans="1:43"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2"/>
      <c r="Y566" s="22"/>
      <c r="Z566" s="22"/>
      <c r="AA566" s="22"/>
      <c r="AB566" s="22"/>
      <c r="AC566" s="22"/>
      <c r="AD566" s="22"/>
      <c r="AE566" s="22"/>
      <c r="AF566" s="22"/>
      <c r="AG566" s="22"/>
      <c r="AH566" s="22"/>
      <c r="AI566" s="22"/>
      <c r="AJ566" s="22"/>
      <c r="AK566" s="22"/>
      <c r="AL566" s="22"/>
      <c r="AM566" s="22"/>
      <c r="AN566" s="22"/>
      <c r="AO566" s="22"/>
      <c r="AP566" s="22"/>
      <c r="AQ566" s="22"/>
    </row>
    <row r="567" spans="1:43"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2"/>
      <c r="Y567" s="22"/>
      <c r="Z567" s="22"/>
      <c r="AA567" s="22"/>
      <c r="AB567" s="22"/>
      <c r="AC567" s="22"/>
      <c r="AD567" s="22"/>
      <c r="AE567" s="22"/>
      <c r="AF567" s="22"/>
      <c r="AG567" s="22"/>
      <c r="AH567" s="22"/>
      <c r="AI567" s="22"/>
      <c r="AJ567" s="22"/>
      <c r="AK567" s="22"/>
      <c r="AL567" s="22"/>
      <c r="AM567" s="22"/>
      <c r="AN567" s="22"/>
      <c r="AO567" s="22"/>
      <c r="AP567" s="22"/>
      <c r="AQ567" s="22"/>
    </row>
    <row r="568" spans="1:43"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2"/>
      <c r="Y568" s="22"/>
      <c r="Z568" s="22"/>
      <c r="AA568" s="22"/>
      <c r="AB568" s="22"/>
      <c r="AC568" s="22"/>
      <c r="AD568" s="22"/>
      <c r="AE568" s="22"/>
      <c r="AF568" s="22"/>
      <c r="AG568" s="22"/>
      <c r="AH568" s="22"/>
      <c r="AI568" s="22"/>
      <c r="AJ568" s="22"/>
      <c r="AK568" s="22"/>
      <c r="AL568" s="22"/>
      <c r="AM568" s="22"/>
      <c r="AN568" s="22"/>
      <c r="AO568" s="22"/>
      <c r="AP568" s="22"/>
      <c r="AQ568" s="22"/>
    </row>
    <row r="569" spans="1:43"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2"/>
      <c r="Y569" s="22"/>
      <c r="Z569" s="22"/>
      <c r="AA569" s="22"/>
      <c r="AB569" s="22"/>
      <c r="AC569" s="22"/>
      <c r="AD569" s="22"/>
      <c r="AE569" s="22"/>
      <c r="AF569" s="22"/>
      <c r="AG569" s="22"/>
      <c r="AH569" s="22"/>
      <c r="AI569" s="22"/>
      <c r="AJ569" s="22"/>
      <c r="AK569" s="22"/>
      <c r="AL569" s="22"/>
      <c r="AM569" s="22"/>
      <c r="AN569" s="22"/>
      <c r="AO569" s="22"/>
      <c r="AP569" s="22"/>
      <c r="AQ569" s="22"/>
    </row>
    <row r="570" spans="1:43"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2"/>
      <c r="Y570" s="22"/>
      <c r="Z570" s="22"/>
      <c r="AA570" s="22"/>
      <c r="AB570" s="22"/>
      <c r="AC570" s="22"/>
      <c r="AD570" s="22"/>
      <c r="AE570" s="22"/>
      <c r="AF570" s="22"/>
      <c r="AG570" s="22"/>
      <c r="AH570" s="22"/>
      <c r="AI570" s="22"/>
      <c r="AJ570" s="22"/>
      <c r="AK570" s="22"/>
      <c r="AL570" s="22"/>
      <c r="AM570" s="22"/>
      <c r="AN570" s="22"/>
      <c r="AO570" s="22"/>
      <c r="AP570" s="22"/>
      <c r="AQ570" s="22"/>
    </row>
    <row r="571" spans="1:43"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2"/>
      <c r="Y571" s="22"/>
      <c r="Z571" s="22"/>
      <c r="AA571" s="22"/>
      <c r="AB571" s="22"/>
      <c r="AC571" s="22"/>
      <c r="AD571" s="22"/>
      <c r="AE571" s="22"/>
      <c r="AF571" s="22"/>
      <c r="AG571" s="22"/>
      <c r="AH571" s="22"/>
      <c r="AI571" s="22"/>
      <c r="AJ571" s="22"/>
      <c r="AK571" s="22"/>
      <c r="AL571" s="22"/>
      <c r="AM571" s="22"/>
      <c r="AN571" s="22"/>
      <c r="AO571" s="22"/>
      <c r="AP571" s="22"/>
      <c r="AQ571" s="22"/>
    </row>
    <row r="572" spans="1:43"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2"/>
      <c r="Y572" s="22"/>
      <c r="Z572" s="22"/>
      <c r="AA572" s="22"/>
      <c r="AB572" s="22"/>
      <c r="AC572" s="22"/>
      <c r="AD572" s="22"/>
      <c r="AE572" s="22"/>
      <c r="AF572" s="22"/>
      <c r="AG572" s="22"/>
      <c r="AH572" s="22"/>
      <c r="AI572" s="22"/>
      <c r="AJ572" s="22"/>
      <c r="AK572" s="22"/>
      <c r="AL572" s="22"/>
      <c r="AM572" s="22"/>
      <c r="AN572" s="22"/>
      <c r="AO572" s="22"/>
      <c r="AP572" s="22"/>
      <c r="AQ572" s="22"/>
    </row>
    <row r="573" spans="1:43"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2"/>
      <c r="Y573" s="22"/>
      <c r="Z573" s="22"/>
      <c r="AA573" s="22"/>
      <c r="AB573" s="22"/>
      <c r="AC573" s="22"/>
      <c r="AD573" s="22"/>
      <c r="AE573" s="22"/>
      <c r="AF573" s="22"/>
      <c r="AG573" s="22"/>
      <c r="AH573" s="22"/>
      <c r="AI573" s="22"/>
      <c r="AJ573" s="22"/>
      <c r="AK573" s="22"/>
      <c r="AL573" s="22"/>
      <c r="AM573" s="22"/>
      <c r="AN573" s="22"/>
      <c r="AO573" s="22"/>
      <c r="AP573" s="22"/>
      <c r="AQ573" s="22"/>
    </row>
    <row r="574" spans="1:43"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2"/>
      <c r="Y574" s="22"/>
      <c r="Z574" s="22"/>
      <c r="AA574" s="22"/>
      <c r="AB574" s="22"/>
      <c r="AC574" s="22"/>
      <c r="AD574" s="22"/>
      <c r="AE574" s="22"/>
      <c r="AF574" s="22"/>
      <c r="AG574" s="22"/>
      <c r="AH574" s="22"/>
      <c r="AI574" s="22"/>
      <c r="AJ574" s="22"/>
      <c r="AK574" s="22"/>
      <c r="AL574" s="22"/>
      <c r="AM574" s="22"/>
      <c r="AN574" s="22"/>
      <c r="AO574" s="22"/>
      <c r="AP574" s="22"/>
      <c r="AQ574" s="22"/>
    </row>
    <row r="575" spans="1:43"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2"/>
      <c r="Y575" s="22"/>
      <c r="Z575" s="22"/>
      <c r="AA575" s="22"/>
      <c r="AB575" s="22"/>
      <c r="AC575" s="22"/>
      <c r="AD575" s="22"/>
      <c r="AE575" s="22"/>
      <c r="AF575" s="22"/>
      <c r="AG575" s="22"/>
      <c r="AH575" s="22"/>
      <c r="AI575" s="22"/>
      <c r="AJ575" s="22"/>
      <c r="AK575" s="22"/>
      <c r="AL575" s="22"/>
      <c r="AM575" s="22"/>
      <c r="AN575" s="22"/>
      <c r="AO575" s="22"/>
      <c r="AP575" s="22"/>
      <c r="AQ575" s="22"/>
    </row>
    <row r="576" spans="1:43"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2"/>
      <c r="Y576" s="22"/>
      <c r="Z576" s="22"/>
      <c r="AA576" s="22"/>
      <c r="AB576" s="22"/>
      <c r="AC576" s="22"/>
      <c r="AD576" s="22"/>
      <c r="AE576" s="22"/>
      <c r="AF576" s="22"/>
      <c r="AG576" s="22"/>
      <c r="AH576" s="22"/>
      <c r="AI576" s="22"/>
      <c r="AJ576" s="22"/>
      <c r="AK576" s="22"/>
      <c r="AL576" s="22"/>
      <c r="AM576" s="22"/>
      <c r="AN576" s="22"/>
      <c r="AO576" s="22"/>
      <c r="AP576" s="22"/>
      <c r="AQ576" s="22"/>
    </row>
    <row r="577" spans="1:43"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2"/>
      <c r="Y577" s="22"/>
      <c r="Z577" s="22"/>
      <c r="AA577" s="22"/>
      <c r="AB577" s="22"/>
      <c r="AC577" s="22"/>
      <c r="AD577" s="22"/>
      <c r="AE577" s="22"/>
      <c r="AF577" s="22"/>
      <c r="AG577" s="22"/>
      <c r="AH577" s="22"/>
      <c r="AI577" s="22"/>
      <c r="AJ577" s="22"/>
      <c r="AK577" s="22"/>
      <c r="AL577" s="22"/>
      <c r="AM577" s="22"/>
      <c r="AN577" s="22"/>
      <c r="AO577" s="22"/>
      <c r="AP577" s="22"/>
      <c r="AQ577" s="22"/>
    </row>
    <row r="578" spans="1:43"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2"/>
      <c r="Y578" s="22"/>
      <c r="Z578" s="22"/>
      <c r="AA578" s="22"/>
      <c r="AB578" s="22"/>
      <c r="AC578" s="22"/>
      <c r="AD578" s="22"/>
      <c r="AE578" s="22"/>
      <c r="AF578" s="22"/>
      <c r="AG578" s="22"/>
      <c r="AH578" s="22"/>
      <c r="AI578" s="22"/>
      <c r="AJ578" s="22"/>
      <c r="AK578" s="22"/>
      <c r="AL578" s="22"/>
      <c r="AM578" s="22"/>
      <c r="AN578" s="22"/>
      <c r="AO578" s="22"/>
      <c r="AP578" s="22"/>
      <c r="AQ578" s="22"/>
    </row>
    <row r="579" spans="1:43"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2"/>
      <c r="Y579" s="22"/>
      <c r="Z579" s="22"/>
      <c r="AA579" s="22"/>
      <c r="AB579" s="22"/>
      <c r="AC579" s="22"/>
      <c r="AD579" s="22"/>
      <c r="AE579" s="22"/>
      <c r="AF579" s="22"/>
      <c r="AG579" s="22"/>
      <c r="AH579" s="22"/>
      <c r="AI579" s="22"/>
      <c r="AJ579" s="22"/>
      <c r="AK579" s="22"/>
      <c r="AL579" s="22"/>
      <c r="AM579" s="22"/>
      <c r="AN579" s="22"/>
      <c r="AO579" s="22"/>
      <c r="AP579" s="22"/>
      <c r="AQ579" s="22"/>
    </row>
    <row r="580" spans="1:43"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2"/>
      <c r="Y580" s="22"/>
      <c r="Z580" s="22"/>
      <c r="AA580" s="22"/>
      <c r="AB580" s="22"/>
      <c r="AC580" s="22"/>
      <c r="AD580" s="22"/>
      <c r="AE580" s="22"/>
      <c r="AF580" s="22"/>
      <c r="AG580" s="22"/>
      <c r="AH580" s="22"/>
      <c r="AI580" s="22"/>
      <c r="AJ580" s="22"/>
      <c r="AK580" s="22"/>
      <c r="AL580" s="22"/>
      <c r="AM580" s="22"/>
      <c r="AN580" s="22"/>
      <c r="AO580" s="22"/>
      <c r="AP580" s="22"/>
      <c r="AQ580" s="22"/>
    </row>
    <row r="581" spans="1:43"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2"/>
      <c r="Y581" s="22"/>
      <c r="Z581" s="22"/>
      <c r="AA581" s="22"/>
      <c r="AB581" s="22"/>
      <c r="AC581" s="22"/>
      <c r="AD581" s="22"/>
      <c r="AE581" s="22"/>
      <c r="AF581" s="22"/>
      <c r="AG581" s="22"/>
      <c r="AH581" s="22"/>
      <c r="AI581" s="22"/>
      <c r="AJ581" s="22"/>
      <c r="AK581" s="22"/>
      <c r="AL581" s="22"/>
      <c r="AM581" s="22"/>
      <c r="AN581" s="22"/>
      <c r="AO581" s="22"/>
      <c r="AP581" s="22"/>
      <c r="AQ581" s="22"/>
    </row>
    <row r="582" spans="1:43"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2"/>
      <c r="Y582" s="22"/>
      <c r="Z582" s="22"/>
      <c r="AA582" s="22"/>
      <c r="AB582" s="22"/>
      <c r="AC582" s="22"/>
      <c r="AD582" s="22"/>
      <c r="AE582" s="22"/>
      <c r="AF582" s="22"/>
      <c r="AG582" s="22"/>
      <c r="AH582" s="22"/>
      <c r="AI582" s="22"/>
      <c r="AJ582" s="22"/>
      <c r="AK582" s="22"/>
      <c r="AL582" s="22"/>
      <c r="AM582" s="22"/>
      <c r="AN582" s="22"/>
      <c r="AO582" s="22"/>
      <c r="AP582" s="22"/>
      <c r="AQ582" s="22"/>
    </row>
    <row r="583" spans="1:43"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2"/>
      <c r="Y583" s="22"/>
      <c r="Z583" s="22"/>
      <c r="AA583" s="22"/>
      <c r="AB583" s="22"/>
      <c r="AC583" s="22"/>
      <c r="AD583" s="22"/>
      <c r="AE583" s="22"/>
      <c r="AF583" s="22"/>
      <c r="AG583" s="22"/>
      <c r="AH583" s="22"/>
      <c r="AI583" s="22"/>
      <c r="AJ583" s="22"/>
      <c r="AK583" s="22"/>
      <c r="AL583" s="22"/>
      <c r="AM583" s="22"/>
      <c r="AN583" s="22"/>
      <c r="AO583" s="22"/>
      <c r="AP583" s="22"/>
      <c r="AQ583" s="22"/>
    </row>
    <row r="584" spans="1:43"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2"/>
      <c r="Y584" s="22"/>
      <c r="Z584" s="22"/>
      <c r="AA584" s="22"/>
      <c r="AB584" s="22"/>
      <c r="AC584" s="22"/>
      <c r="AD584" s="22"/>
      <c r="AE584" s="22"/>
      <c r="AF584" s="22"/>
      <c r="AG584" s="22"/>
      <c r="AH584" s="22"/>
      <c r="AI584" s="22"/>
      <c r="AJ584" s="22"/>
      <c r="AK584" s="22"/>
      <c r="AL584" s="22"/>
      <c r="AM584" s="22"/>
      <c r="AN584" s="22"/>
      <c r="AO584" s="22"/>
      <c r="AP584" s="22"/>
      <c r="AQ584" s="22"/>
    </row>
    <row r="585" spans="1:43"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2"/>
      <c r="Y585" s="22"/>
      <c r="Z585" s="22"/>
      <c r="AA585" s="22"/>
      <c r="AB585" s="22"/>
      <c r="AC585" s="22"/>
      <c r="AD585" s="22"/>
      <c r="AE585" s="22"/>
      <c r="AF585" s="22"/>
      <c r="AG585" s="22"/>
      <c r="AH585" s="22"/>
      <c r="AI585" s="22"/>
      <c r="AJ585" s="22"/>
      <c r="AK585" s="22"/>
      <c r="AL585" s="22"/>
      <c r="AM585" s="22"/>
      <c r="AN585" s="22"/>
      <c r="AO585" s="22"/>
      <c r="AP585" s="22"/>
      <c r="AQ585" s="22"/>
    </row>
    <row r="586" spans="1:43"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2"/>
      <c r="Y586" s="22"/>
      <c r="Z586" s="22"/>
      <c r="AA586" s="22"/>
      <c r="AB586" s="22"/>
      <c r="AC586" s="22"/>
      <c r="AD586" s="22"/>
      <c r="AE586" s="22"/>
      <c r="AF586" s="22"/>
      <c r="AG586" s="22"/>
      <c r="AH586" s="22"/>
      <c r="AI586" s="22"/>
      <c r="AJ586" s="22"/>
      <c r="AK586" s="22"/>
      <c r="AL586" s="22"/>
      <c r="AM586" s="22"/>
      <c r="AN586" s="22"/>
      <c r="AO586" s="22"/>
      <c r="AP586" s="22"/>
      <c r="AQ586" s="22"/>
    </row>
    <row r="587" spans="1:43"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2"/>
      <c r="Y587" s="22"/>
      <c r="Z587" s="22"/>
      <c r="AA587" s="22"/>
      <c r="AB587" s="22"/>
      <c r="AC587" s="22"/>
      <c r="AD587" s="22"/>
      <c r="AE587" s="22"/>
      <c r="AF587" s="22"/>
      <c r="AG587" s="22"/>
      <c r="AH587" s="22"/>
      <c r="AI587" s="22"/>
      <c r="AJ587" s="22"/>
      <c r="AK587" s="22"/>
      <c r="AL587" s="22"/>
      <c r="AM587" s="22"/>
      <c r="AN587" s="22"/>
      <c r="AO587" s="22"/>
      <c r="AP587" s="22"/>
      <c r="AQ587" s="22"/>
    </row>
    <row r="588" spans="1:43"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2"/>
      <c r="Y588" s="22"/>
      <c r="Z588" s="22"/>
      <c r="AA588" s="22"/>
      <c r="AB588" s="22"/>
      <c r="AC588" s="22"/>
      <c r="AD588" s="22"/>
      <c r="AE588" s="22"/>
      <c r="AF588" s="22"/>
      <c r="AG588" s="22"/>
      <c r="AH588" s="22"/>
      <c r="AI588" s="22"/>
      <c r="AJ588" s="22"/>
      <c r="AK588" s="22"/>
      <c r="AL588" s="22"/>
      <c r="AM588" s="22"/>
      <c r="AN588" s="22"/>
      <c r="AO588" s="22"/>
      <c r="AP588" s="22"/>
      <c r="AQ588" s="22"/>
    </row>
    <row r="589" spans="1:43"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2"/>
      <c r="Y589" s="22"/>
      <c r="Z589" s="22"/>
      <c r="AA589" s="22"/>
      <c r="AB589" s="22"/>
      <c r="AC589" s="22"/>
      <c r="AD589" s="22"/>
      <c r="AE589" s="22"/>
      <c r="AF589" s="22"/>
      <c r="AG589" s="22"/>
      <c r="AH589" s="22"/>
      <c r="AI589" s="22"/>
      <c r="AJ589" s="22"/>
      <c r="AK589" s="22"/>
      <c r="AL589" s="22"/>
      <c r="AM589" s="22"/>
      <c r="AN589" s="22"/>
      <c r="AO589" s="22"/>
      <c r="AP589" s="22"/>
      <c r="AQ589" s="22"/>
    </row>
    <row r="590" spans="1:43"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2"/>
      <c r="Y590" s="22"/>
      <c r="Z590" s="22"/>
      <c r="AA590" s="22"/>
      <c r="AB590" s="22"/>
      <c r="AC590" s="22"/>
      <c r="AD590" s="22"/>
      <c r="AE590" s="22"/>
      <c r="AF590" s="22"/>
      <c r="AG590" s="22"/>
      <c r="AH590" s="22"/>
      <c r="AI590" s="22"/>
      <c r="AJ590" s="22"/>
      <c r="AK590" s="22"/>
      <c r="AL590" s="22"/>
      <c r="AM590" s="22"/>
      <c r="AN590" s="22"/>
      <c r="AO590" s="22"/>
      <c r="AP590" s="22"/>
      <c r="AQ590" s="22"/>
    </row>
    <row r="591" spans="1:43"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2"/>
      <c r="Y591" s="22"/>
      <c r="Z591" s="22"/>
      <c r="AA591" s="22"/>
      <c r="AB591" s="22"/>
      <c r="AC591" s="22"/>
      <c r="AD591" s="22"/>
      <c r="AE591" s="22"/>
      <c r="AF591" s="22"/>
      <c r="AG591" s="22"/>
      <c r="AH591" s="22"/>
      <c r="AI591" s="22"/>
      <c r="AJ591" s="22"/>
      <c r="AK591" s="22"/>
      <c r="AL591" s="22"/>
      <c r="AM591" s="22"/>
      <c r="AN591" s="22"/>
      <c r="AO591" s="22"/>
      <c r="AP591" s="22"/>
      <c r="AQ591" s="22"/>
    </row>
    <row r="592" spans="1:43"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2"/>
      <c r="Y592" s="22"/>
      <c r="Z592" s="22"/>
      <c r="AA592" s="22"/>
      <c r="AB592" s="22"/>
      <c r="AC592" s="22"/>
      <c r="AD592" s="22"/>
      <c r="AE592" s="22"/>
      <c r="AF592" s="22"/>
      <c r="AG592" s="22"/>
      <c r="AH592" s="22"/>
      <c r="AI592" s="22"/>
      <c r="AJ592" s="22"/>
      <c r="AK592" s="22"/>
      <c r="AL592" s="22"/>
      <c r="AM592" s="22"/>
      <c r="AN592" s="22"/>
      <c r="AO592" s="22"/>
      <c r="AP592" s="22"/>
      <c r="AQ592" s="22"/>
    </row>
    <row r="593" spans="1:43"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2"/>
      <c r="Y593" s="22"/>
      <c r="Z593" s="22"/>
      <c r="AA593" s="22"/>
      <c r="AB593" s="22"/>
      <c r="AC593" s="22"/>
      <c r="AD593" s="22"/>
      <c r="AE593" s="22"/>
      <c r="AF593" s="22"/>
      <c r="AG593" s="22"/>
      <c r="AH593" s="22"/>
      <c r="AI593" s="22"/>
      <c r="AJ593" s="22"/>
      <c r="AK593" s="22"/>
      <c r="AL593" s="22"/>
      <c r="AM593" s="22"/>
      <c r="AN593" s="22"/>
      <c r="AO593" s="22"/>
      <c r="AP593" s="22"/>
      <c r="AQ593" s="22"/>
    </row>
    <row r="594" spans="1:43"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2"/>
      <c r="Y594" s="22"/>
      <c r="Z594" s="22"/>
      <c r="AA594" s="22"/>
      <c r="AB594" s="22"/>
      <c r="AC594" s="22"/>
      <c r="AD594" s="22"/>
      <c r="AE594" s="22"/>
      <c r="AF594" s="22"/>
      <c r="AG594" s="22"/>
      <c r="AH594" s="22"/>
      <c r="AI594" s="22"/>
      <c r="AJ594" s="22"/>
      <c r="AK594" s="22"/>
      <c r="AL594" s="22"/>
      <c r="AM594" s="22"/>
      <c r="AN594" s="22"/>
      <c r="AO594" s="22"/>
      <c r="AP594" s="22"/>
      <c r="AQ594" s="22"/>
    </row>
    <row r="595" spans="1:43"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2"/>
      <c r="Y595" s="22"/>
      <c r="Z595" s="22"/>
      <c r="AA595" s="22"/>
      <c r="AB595" s="22"/>
      <c r="AC595" s="22"/>
      <c r="AD595" s="22"/>
      <c r="AE595" s="22"/>
      <c r="AF595" s="22"/>
      <c r="AG595" s="22"/>
      <c r="AH595" s="22"/>
      <c r="AI595" s="22"/>
      <c r="AJ595" s="22"/>
      <c r="AK595" s="22"/>
      <c r="AL595" s="22"/>
      <c r="AM595" s="22"/>
      <c r="AN595" s="22"/>
      <c r="AO595" s="22"/>
      <c r="AP595" s="22"/>
      <c r="AQ595" s="22"/>
    </row>
    <row r="596" spans="1:43"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2"/>
      <c r="Y596" s="22"/>
      <c r="Z596" s="22"/>
      <c r="AA596" s="22"/>
      <c r="AB596" s="22"/>
      <c r="AC596" s="22"/>
      <c r="AD596" s="22"/>
      <c r="AE596" s="22"/>
      <c r="AF596" s="22"/>
      <c r="AG596" s="22"/>
      <c r="AH596" s="22"/>
      <c r="AI596" s="22"/>
      <c r="AJ596" s="22"/>
      <c r="AK596" s="22"/>
      <c r="AL596" s="22"/>
      <c r="AM596" s="22"/>
      <c r="AN596" s="22"/>
      <c r="AO596" s="22"/>
      <c r="AP596" s="22"/>
      <c r="AQ596" s="22"/>
    </row>
    <row r="597" spans="1:43"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2"/>
      <c r="Y597" s="22"/>
      <c r="Z597" s="22"/>
      <c r="AA597" s="22"/>
      <c r="AB597" s="22"/>
      <c r="AC597" s="22"/>
      <c r="AD597" s="22"/>
      <c r="AE597" s="22"/>
      <c r="AF597" s="22"/>
      <c r="AG597" s="22"/>
      <c r="AH597" s="22"/>
      <c r="AI597" s="22"/>
      <c r="AJ597" s="22"/>
      <c r="AK597" s="22"/>
      <c r="AL597" s="22"/>
      <c r="AM597" s="22"/>
      <c r="AN597" s="22"/>
      <c r="AO597" s="22"/>
      <c r="AP597" s="22"/>
      <c r="AQ597" s="22"/>
    </row>
    <row r="598" spans="1:43"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2"/>
      <c r="Y598" s="22"/>
      <c r="Z598" s="22"/>
      <c r="AA598" s="22"/>
      <c r="AB598" s="22"/>
      <c r="AC598" s="22"/>
      <c r="AD598" s="22"/>
      <c r="AE598" s="22"/>
      <c r="AF598" s="22"/>
      <c r="AG598" s="22"/>
      <c r="AH598" s="22"/>
      <c r="AI598" s="22"/>
      <c r="AJ598" s="22"/>
      <c r="AK598" s="22"/>
      <c r="AL598" s="22"/>
      <c r="AM598" s="22"/>
      <c r="AN598" s="22"/>
      <c r="AO598" s="22"/>
      <c r="AP598" s="22"/>
      <c r="AQ598" s="22"/>
    </row>
    <row r="599" spans="1:43"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2"/>
      <c r="Y599" s="22"/>
      <c r="Z599" s="22"/>
      <c r="AA599" s="22"/>
      <c r="AB599" s="22"/>
      <c r="AC599" s="22"/>
      <c r="AD599" s="22"/>
      <c r="AE599" s="22"/>
      <c r="AF599" s="22"/>
      <c r="AG599" s="22"/>
      <c r="AH599" s="22"/>
      <c r="AI599" s="22"/>
      <c r="AJ599" s="22"/>
      <c r="AK599" s="22"/>
      <c r="AL599" s="22"/>
      <c r="AM599" s="22"/>
      <c r="AN599" s="22"/>
      <c r="AO599" s="22"/>
      <c r="AP599" s="22"/>
      <c r="AQ599" s="22"/>
    </row>
    <row r="600" spans="1:43"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2"/>
      <c r="Y600" s="22"/>
      <c r="Z600" s="22"/>
      <c r="AA600" s="22"/>
      <c r="AB600" s="22"/>
      <c r="AC600" s="22"/>
      <c r="AD600" s="22"/>
      <c r="AE600" s="22"/>
      <c r="AF600" s="22"/>
      <c r="AG600" s="22"/>
      <c r="AH600" s="22"/>
      <c r="AI600" s="22"/>
      <c r="AJ600" s="22"/>
      <c r="AK600" s="22"/>
      <c r="AL600" s="22"/>
      <c r="AM600" s="22"/>
      <c r="AN600" s="22"/>
      <c r="AO600" s="22"/>
      <c r="AP600" s="22"/>
      <c r="AQ600" s="22"/>
    </row>
    <row r="601" spans="1:43"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2"/>
      <c r="Y601" s="22"/>
      <c r="Z601" s="22"/>
      <c r="AA601" s="22"/>
      <c r="AB601" s="22"/>
      <c r="AC601" s="22"/>
      <c r="AD601" s="22"/>
      <c r="AE601" s="22"/>
      <c r="AF601" s="22"/>
      <c r="AG601" s="22"/>
      <c r="AH601" s="22"/>
      <c r="AI601" s="22"/>
      <c r="AJ601" s="22"/>
      <c r="AK601" s="22"/>
      <c r="AL601" s="22"/>
      <c r="AM601" s="22"/>
      <c r="AN601" s="22"/>
      <c r="AO601" s="22"/>
      <c r="AP601" s="22"/>
      <c r="AQ601" s="22"/>
    </row>
    <row r="602" spans="1:43"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2"/>
      <c r="Y602" s="22"/>
      <c r="Z602" s="22"/>
      <c r="AA602" s="22"/>
      <c r="AB602" s="22"/>
      <c r="AC602" s="22"/>
      <c r="AD602" s="22"/>
      <c r="AE602" s="22"/>
      <c r="AF602" s="22"/>
      <c r="AG602" s="22"/>
      <c r="AH602" s="22"/>
      <c r="AI602" s="22"/>
      <c r="AJ602" s="22"/>
      <c r="AK602" s="22"/>
      <c r="AL602" s="22"/>
      <c r="AM602" s="22"/>
      <c r="AN602" s="22"/>
      <c r="AO602" s="22"/>
      <c r="AP602" s="22"/>
      <c r="AQ602" s="22"/>
    </row>
    <row r="603" spans="1:43"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2"/>
      <c r="Y603" s="22"/>
      <c r="Z603" s="22"/>
      <c r="AA603" s="22"/>
      <c r="AB603" s="22"/>
      <c r="AC603" s="22"/>
      <c r="AD603" s="22"/>
      <c r="AE603" s="22"/>
      <c r="AF603" s="22"/>
      <c r="AG603" s="22"/>
      <c r="AH603" s="22"/>
      <c r="AI603" s="22"/>
      <c r="AJ603" s="22"/>
      <c r="AK603" s="22"/>
      <c r="AL603" s="22"/>
      <c r="AM603" s="22"/>
      <c r="AN603" s="22"/>
      <c r="AO603" s="22"/>
      <c r="AP603" s="22"/>
      <c r="AQ603" s="22"/>
    </row>
    <row r="604" spans="1:43"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2"/>
      <c r="Y604" s="22"/>
      <c r="Z604" s="22"/>
      <c r="AA604" s="22"/>
      <c r="AB604" s="22"/>
      <c r="AC604" s="22"/>
      <c r="AD604" s="22"/>
      <c r="AE604" s="22"/>
      <c r="AF604" s="22"/>
      <c r="AG604" s="22"/>
      <c r="AH604" s="22"/>
      <c r="AI604" s="22"/>
      <c r="AJ604" s="22"/>
      <c r="AK604" s="22"/>
      <c r="AL604" s="22"/>
      <c r="AM604" s="22"/>
      <c r="AN604" s="22"/>
      <c r="AO604" s="22"/>
      <c r="AP604" s="22"/>
      <c r="AQ604" s="22"/>
    </row>
    <row r="605" spans="1:43"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2"/>
      <c r="Y605" s="22"/>
      <c r="Z605" s="22"/>
      <c r="AA605" s="22"/>
      <c r="AB605" s="22"/>
      <c r="AC605" s="22"/>
      <c r="AD605" s="22"/>
      <c r="AE605" s="22"/>
      <c r="AF605" s="22"/>
      <c r="AG605" s="22"/>
      <c r="AH605" s="22"/>
      <c r="AI605" s="22"/>
      <c r="AJ605" s="22"/>
      <c r="AK605" s="22"/>
      <c r="AL605" s="22"/>
      <c r="AM605" s="22"/>
      <c r="AN605" s="22"/>
      <c r="AO605" s="22"/>
      <c r="AP605" s="22"/>
      <c r="AQ605" s="22"/>
    </row>
    <row r="606" spans="1:43"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2"/>
      <c r="Y606" s="22"/>
      <c r="Z606" s="22"/>
      <c r="AA606" s="22"/>
      <c r="AB606" s="22"/>
      <c r="AC606" s="22"/>
      <c r="AD606" s="22"/>
      <c r="AE606" s="22"/>
      <c r="AF606" s="22"/>
      <c r="AG606" s="22"/>
      <c r="AH606" s="22"/>
      <c r="AI606" s="22"/>
      <c r="AJ606" s="22"/>
      <c r="AK606" s="22"/>
      <c r="AL606" s="22"/>
      <c r="AM606" s="22"/>
      <c r="AN606" s="22"/>
      <c r="AO606" s="22"/>
      <c r="AP606" s="22"/>
      <c r="AQ606" s="22"/>
    </row>
    <row r="607" spans="1:43"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2"/>
      <c r="Y607" s="22"/>
      <c r="Z607" s="22"/>
      <c r="AA607" s="22"/>
      <c r="AB607" s="22"/>
      <c r="AC607" s="22"/>
      <c r="AD607" s="22"/>
      <c r="AE607" s="22"/>
      <c r="AF607" s="22"/>
      <c r="AG607" s="22"/>
      <c r="AH607" s="22"/>
      <c r="AI607" s="22"/>
      <c r="AJ607" s="22"/>
      <c r="AK607" s="22"/>
      <c r="AL607" s="22"/>
      <c r="AM607" s="22"/>
      <c r="AN607" s="22"/>
      <c r="AO607" s="22"/>
      <c r="AP607" s="22"/>
      <c r="AQ607" s="22"/>
    </row>
    <row r="608" spans="1:43"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2"/>
      <c r="Y608" s="22"/>
      <c r="Z608" s="22"/>
      <c r="AA608" s="22"/>
      <c r="AB608" s="22"/>
      <c r="AC608" s="22"/>
      <c r="AD608" s="22"/>
      <c r="AE608" s="22"/>
      <c r="AF608" s="22"/>
      <c r="AG608" s="22"/>
      <c r="AH608" s="22"/>
      <c r="AI608" s="22"/>
      <c r="AJ608" s="22"/>
      <c r="AK608" s="22"/>
      <c r="AL608" s="22"/>
      <c r="AM608" s="22"/>
      <c r="AN608" s="22"/>
      <c r="AO608" s="22"/>
      <c r="AP608" s="22"/>
      <c r="AQ608" s="22"/>
    </row>
    <row r="609" spans="1:43"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2"/>
      <c r="Y609" s="22"/>
      <c r="Z609" s="22"/>
      <c r="AA609" s="22"/>
      <c r="AB609" s="22"/>
      <c r="AC609" s="22"/>
      <c r="AD609" s="22"/>
      <c r="AE609" s="22"/>
      <c r="AF609" s="22"/>
      <c r="AG609" s="22"/>
      <c r="AH609" s="22"/>
      <c r="AI609" s="22"/>
      <c r="AJ609" s="22"/>
      <c r="AK609" s="22"/>
      <c r="AL609" s="22"/>
      <c r="AM609" s="22"/>
      <c r="AN609" s="22"/>
      <c r="AO609" s="22"/>
      <c r="AP609" s="22"/>
      <c r="AQ609" s="22"/>
    </row>
    <row r="610" spans="1:43"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2"/>
      <c r="Y610" s="22"/>
      <c r="Z610" s="22"/>
      <c r="AA610" s="22"/>
      <c r="AB610" s="22"/>
      <c r="AC610" s="22"/>
      <c r="AD610" s="22"/>
      <c r="AE610" s="22"/>
      <c r="AF610" s="22"/>
      <c r="AG610" s="22"/>
      <c r="AH610" s="22"/>
      <c r="AI610" s="22"/>
      <c r="AJ610" s="22"/>
      <c r="AK610" s="22"/>
      <c r="AL610" s="22"/>
      <c r="AM610" s="22"/>
      <c r="AN610" s="22"/>
      <c r="AO610" s="22"/>
      <c r="AP610" s="22"/>
      <c r="AQ610" s="22"/>
    </row>
    <row r="611" spans="1:43"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2"/>
      <c r="Y611" s="22"/>
      <c r="Z611" s="22"/>
      <c r="AA611" s="22"/>
      <c r="AB611" s="22"/>
      <c r="AC611" s="22"/>
      <c r="AD611" s="22"/>
      <c r="AE611" s="22"/>
      <c r="AF611" s="22"/>
      <c r="AG611" s="22"/>
      <c r="AH611" s="22"/>
      <c r="AI611" s="22"/>
      <c r="AJ611" s="22"/>
      <c r="AK611" s="22"/>
      <c r="AL611" s="22"/>
      <c r="AM611" s="22"/>
      <c r="AN611" s="22"/>
      <c r="AO611" s="22"/>
      <c r="AP611" s="22"/>
      <c r="AQ611" s="22"/>
    </row>
    <row r="612" spans="1:43"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2"/>
      <c r="Y612" s="22"/>
      <c r="Z612" s="22"/>
      <c r="AA612" s="22"/>
      <c r="AB612" s="22"/>
      <c r="AC612" s="22"/>
      <c r="AD612" s="22"/>
      <c r="AE612" s="22"/>
      <c r="AF612" s="22"/>
      <c r="AG612" s="22"/>
      <c r="AH612" s="22"/>
      <c r="AI612" s="22"/>
      <c r="AJ612" s="22"/>
      <c r="AK612" s="22"/>
      <c r="AL612" s="22"/>
      <c r="AM612" s="22"/>
      <c r="AN612" s="22"/>
      <c r="AO612" s="22"/>
      <c r="AP612" s="22"/>
      <c r="AQ612" s="22"/>
    </row>
    <row r="613" spans="1:43"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2"/>
      <c r="Y613" s="22"/>
      <c r="Z613" s="22"/>
      <c r="AA613" s="22"/>
      <c r="AB613" s="22"/>
      <c r="AC613" s="22"/>
      <c r="AD613" s="22"/>
      <c r="AE613" s="22"/>
      <c r="AF613" s="22"/>
      <c r="AG613" s="22"/>
      <c r="AH613" s="22"/>
      <c r="AI613" s="22"/>
      <c r="AJ613" s="22"/>
      <c r="AK613" s="22"/>
      <c r="AL613" s="22"/>
      <c r="AM613" s="22"/>
      <c r="AN613" s="22"/>
      <c r="AO613" s="22"/>
      <c r="AP613" s="22"/>
      <c r="AQ613" s="22"/>
    </row>
    <row r="614" spans="1:43"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2"/>
      <c r="Y614" s="22"/>
      <c r="Z614" s="22"/>
      <c r="AA614" s="22"/>
      <c r="AB614" s="22"/>
      <c r="AC614" s="22"/>
      <c r="AD614" s="22"/>
      <c r="AE614" s="22"/>
      <c r="AF614" s="22"/>
      <c r="AG614" s="22"/>
      <c r="AH614" s="22"/>
      <c r="AI614" s="22"/>
      <c r="AJ614" s="22"/>
      <c r="AK614" s="22"/>
      <c r="AL614" s="22"/>
      <c r="AM614" s="22"/>
      <c r="AN614" s="22"/>
      <c r="AO614" s="22"/>
      <c r="AP614" s="22"/>
      <c r="AQ614" s="22"/>
    </row>
    <row r="615" spans="1:43"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2"/>
      <c r="Y615" s="22"/>
      <c r="Z615" s="22"/>
      <c r="AA615" s="22"/>
      <c r="AB615" s="22"/>
      <c r="AC615" s="22"/>
      <c r="AD615" s="22"/>
      <c r="AE615" s="22"/>
      <c r="AF615" s="22"/>
      <c r="AG615" s="22"/>
      <c r="AH615" s="22"/>
      <c r="AI615" s="22"/>
      <c r="AJ615" s="22"/>
      <c r="AK615" s="22"/>
      <c r="AL615" s="22"/>
      <c r="AM615" s="22"/>
      <c r="AN615" s="22"/>
      <c r="AO615" s="22"/>
      <c r="AP615" s="22"/>
      <c r="AQ615" s="22"/>
    </row>
    <row r="616" spans="1:43"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2"/>
      <c r="Y616" s="22"/>
      <c r="Z616" s="22"/>
      <c r="AA616" s="22"/>
      <c r="AB616" s="22"/>
      <c r="AC616" s="22"/>
      <c r="AD616" s="22"/>
      <c r="AE616" s="22"/>
      <c r="AF616" s="22"/>
      <c r="AG616" s="22"/>
      <c r="AH616" s="22"/>
      <c r="AI616" s="22"/>
      <c r="AJ616" s="22"/>
      <c r="AK616" s="22"/>
      <c r="AL616" s="22"/>
      <c r="AM616" s="22"/>
      <c r="AN616" s="22"/>
      <c r="AO616" s="22"/>
      <c r="AP616" s="22"/>
      <c r="AQ616" s="22"/>
    </row>
    <row r="617" spans="1:43"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2"/>
      <c r="Y617" s="22"/>
      <c r="Z617" s="22"/>
      <c r="AA617" s="22"/>
      <c r="AB617" s="22"/>
      <c r="AC617" s="22"/>
      <c r="AD617" s="22"/>
      <c r="AE617" s="22"/>
      <c r="AF617" s="22"/>
      <c r="AG617" s="22"/>
      <c r="AH617" s="22"/>
      <c r="AI617" s="22"/>
      <c r="AJ617" s="22"/>
      <c r="AK617" s="22"/>
      <c r="AL617" s="22"/>
      <c r="AM617" s="22"/>
      <c r="AN617" s="22"/>
      <c r="AO617" s="22"/>
      <c r="AP617" s="22"/>
      <c r="AQ617" s="22"/>
    </row>
    <row r="618" spans="1:43"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2"/>
      <c r="Y618" s="22"/>
      <c r="Z618" s="22"/>
      <c r="AA618" s="22"/>
      <c r="AB618" s="22"/>
      <c r="AC618" s="22"/>
      <c r="AD618" s="22"/>
      <c r="AE618" s="22"/>
      <c r="AF618" s="22"/>
      <c r="AG618" s="22"/>
      <c r="AH618" s="22"/>
      <c r="AI618" s="22"/>
      <c r="AJ618" s="22"/>
      <c r="AK618" s="22"/>
      <c r="AL618" s="22"/>
      <c r="AM618" s="22"/>
      <c r="AN618" s="22"/>
      <c r="AO618" s="22"/>
      <c r="AP618" s="22"/>
      <c r="AQ618" s="22"/>
    </row>
    <row r="619" spans="1:43"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2"/>
      <c r="Y619" s="22"/>
      <c r="Z619" s="22"/>
      <c r="AA619" s="22"/>
      <c r="AB619" s="22"/>
      <c r="AC619" s="22"/>
      <c r="AD619" s="22"/>
      <c r="AE619" s="22"/>
      <c r="AF619" s="22"/>
      <c r="AG619" s="22"/>
      <c r="AH619" s="22"/>
      <c r="AI619" s="22"/>
      <c r="AJ619" s="22"/>
      <c r="AK619" s="22"/>
      <c r="AL619" s="22"/>
      <c r="AM619" s="22"/>
      <c r="AN619" s="22"/>
      <c r="AO619" s="22"/>
      <c r="AP619" s="22"/>
      <c r="AQ619" s="22"/>
    </row>
    <row r="620" spans="1:43"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2"/>
      <c r="Y620" s="22"/>
      <c r="Z620" s="22"/>
      <c r="AA620" s="22"/>
      <c r="AB620" s="22"/>
      <c r="AC620" s="22"/>
      <c r="AD620" s="22"/>
      <c r="AE620" s="22"/>
      <c r="AF620" s="22"/>
      <c r="AG620" s="22"/>
      <c r="AH620" s="22"/>
      <c r="AI620" s="22"/>
      <c r="AJ620" s="22"/>
      <c r="AK620" s="22"/>
      <c r="AL620" s="22"/>
      <c r="AM620" s="22"/>
      <c r="AN620" s="22"/>
      <c r="AO620" s="22"/>
      <c r="AP620" s="22"/>
      <c r="AQ620" s="22"/>
    </row>
    <row r="621" spans="1:43"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2"/>
      <c r="Y621" s="22"/>
      <c r="Z621" s="22"/>
      <c r="AA621" s="22"/>
      <c r="AB621" s="22"/>
      <c r="AC621" s="22"/>
      <c r="AD621" s="22"/>
      <c r="AE621" s="22"/>
      <c r="AF621" s="22"/>
      <c r="AG621" s="22"/>
      <c r="AH621" s="22"/>
      <c r="AI621" s="22"/>
      <c r="AJ621" s="22"/>
      <c r="AK621" s="22"/>
      <c r="AL621" s="22"/>
      <c r="AM621" s="22"/>
      <c r="AN621" s="22"/>
      <c r="AO621" s="22"/>
      <c r="AP621" s="22"/>
      <c r="AQ621" s="22"/>
    </row>
    <row r="622" spans="1:43"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2"/>
      <c r="Y622" s="22"/>
      <c r="Z622" s="22"/>
      <c r="AA622" s="22"/>
      <c r="AB622" s="22"/>
      <c r="AC622" s="22"/>
      <c r="AD622" s="22"/>
      <c r="AE622" s="22"/>
      <c r="AF622" s="22"/>
      <c r="AG622" s="22"/>
      <c r="AH622" s="22"/>
      <c r="AI622" s="22"/>
      <c r="AJ622" s="22"/>
      <c r="AK622" s="22"/>
      <c r="AL622" s="22"/>
      <c r="AM622" s="22"/>
      <c r="AN622" s="22"/>
      <c r="AO622" s="22"/>
      <c r="AP622" s="22"/>
      <c r="AQ622" s="22"/>
    </row>
    <row r="623" spans="1:43"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2"/>
      <c r="Y623" s="22"/>
      <c r="Z623" s="22"/>
      <c r="AA623" s="22"/>
      <c r="AB623" s="22"/>
      <c r="AC623" s="22"/>
      <c r="AD623" s="22"/>
      <c r="AE623" s="22"/>
      <c r="AF623" s="22"/>
      <c r="AG623" s="22"/>
      <c r="AH623" s="22"/>
      <c r="AI623" s="22"/>
      <c r="AJ623" s="22"/>
      <c r="AK623" s="22"/>
      <c r="AL623" s="22"/>
      <c r="AM623" s="22"/>
      <c r="AN623" s="22"/>
      <c r="AO623" s="22"/>
      <c r="AP623" s="22"/>
      <c r="AQ623" s="22"/>
    </row>
    <row r="624" spans="1:43"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2"/>
      <c r="Y624" s="22"/>
      <c r="Z624" s="22"/>
      <c r="AA624" s="22"/>
      <c r="AB624" s="22"/>
      <c r="AC624" s="22"/>
      <c r="AD624" s="22"/>
      <c r="AE624" s="22"/>
      <c r="AF624" s="22"/>
      <c r="AG624" s="22"/>
      <c r="AH624" s="22"/>
      <c r="AI624" s="22"/>
      <c r="AJ624" s="22"/>
      <c r="AK624" s="22"/>
      <c r="AL624" s="22"/>
      <c r="AM624" s="22"/>
      <c r="AN624" s="22"/>
      <c r="AO624" s="22"/>
      <c r="AP624" s="22"/>
      <c r="AQ624" s="22"/>
    </row>
    <row r="625" spans="1:43"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2"/>
      <c r="Y625" s="22"/>
      <c r="Z625" s="22"/>
      <c r="AA625" s="22"/>
      <c r="AB625" s="22"/>
      <c r="AC625" s="22"/>
      <c r="AD625" s="22"/>
      <c r="AE625" s="22"/>
      <c r="AF625" s="22"/>
      <c r="AG625" s="22"/>
      <c r="AH625" s="22"/>
      <c r="AI625" s="22"/>
      <c r="AJ625" s="22"/>
      <c r="AK625" s="22"/>
      <c r="AL625" s="22"/>
      <c r="AM625" s="22"/>
      <c r="AN625" s="22"/>
      <c r="AO625" s="22"/>
      <c r="AP625" s="22"/>
      <c r="AQ625" s="22"/>
    </row>
    <row r="626" spans="1:43"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2"/>
      <c r="Y626" s="22"/>
      <c r="Z626" s="22"/>
      <c r="AA626" s="22"/>
      <c r="AB626" s="22"/>
      <c r="AC626" s="22"/>
      <c r="AD626" s="22"/>
      <c r="AE626" s="22"/>
      <c r="AF626" s="22"/>
      <c r="AG626" s="22"/>
      <c r="AH626" s="22"/>
      <c r="AI626" s="22"/>
      <c r="AJ626" s="22"/>
      <c r="AK626" s="22"/>
      <c r="AL626" s="22"/>
      <c r="AM626" s="22"/>
      <c r="AN626" s="22"/>
      <c r="AO626" s="22"/>
      <c r="AP626" s="22"/>
      <c r="AQ626" s="22"/>
    </row>
    <row r="627" spans="1:43"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2"/>
      <c r="Y627" s="22"/>
      <c r="Z627" s="22"/>
      <c r="AA627" s="22"/>
      <c r="AB627" s="22"/>
      <c r="AC627" s="22"/>
      <c r="AD627" s="22"/>
      <c r="AE627" s="22"/>
      <c r="AF627" s="22"/>
      <c r="AG627" s="22"/>
      <c r="AH627" s="22"/>
      <c r="AI627" s="22"/>
      <c r="AJ627" s="22"/>
      <c r="AK627" s="22"/>
      <c r="AL627" s="22"/>
      <c r="AM627" s="22"/>
      <c r="AN627" s="22"/>
      <c r="AO627" s="22"/>
      <c r="AP627" s="22"/>
      <c r="AQ627" s="22"/>
    </row>
    <row r="628" spans="1:43"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2"/>
      <c r="Y628" s="22"/>
      <c r="Z628" s="22"/>
      <c r="AA628" s="22"/>
      <c r="AB628" s="22"/>
      <c r="AC628" s="22"/>
      <c r="AD628" s="22"/>
      <c r="AE628" s="22"/>
      <c r="AF628" s="22"/>
      <c r="AG628" s="22"/>
      <c r="AH628" s="22"/>
      <c r="AI628" s="22"/>
      <c r="AJ628" s="22"/>
      <c r="AK628" s="22"/>
      <c r="AL628" s="22"/>
      <c r="AM628" s="22"/>
      <c r="AN628" s="22"/>
      <c r="AO628" s="22"/>
      <c r="AP628" s="22"/>
      <c r="AQ628" s="22"/>
    </row>
    <row r="629" spans="1:43"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2"/>
      <c r="Y629" s="22"/>
      <c r="Z629" s="22"/>
      <c r="AA629" s="22"/>
      <c r="AB629" s="22"/>
      <c r="AC629" s="22"/>
      <c r="AD629" s="22"/>
      <c r="AE629" s="22"/>
      <c r="AF629" s="22"/>
      <c r="AG629" s="22"/>
      <c r="AH629" s="22"/>
      <c r="AI629" s="22"/>
      <c r="AJ629" s="22"/>
      <c r="AK629" s="22"/>
      <c r="AL629" s="22"/>
      <c r="AM629" s="22"/>
      <c r="AN629" s="22"/>
      <c r="AO629" s="22"/>
      <c r="AP629" s="22"/>
      <c r="AQ629" s="22"/>
    </row>
    <row r="630" spans="1:43"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2"/>
      <c r="Y630" s="22"/>
      <c r="Z630" s="22"/>
      <c r="AA630" s="22"/>
      <c r="AB630" s="22"/>
      <c r="AC630" s="22"/>
      <c r="AD630" s="22"/>
      <c r="AE630" s="22"/>
      <c r="AF630" s="22"/>
      <c r="AG630" s="22"/>
      <c r="AH630" s="22"/>
      <c r="AI630" s="22"/>
      <c r="AJ630" s="22"/>
      <c r="AK630" s="22"/>
      <c r="AL630" s="22"/>
      <c r="AM630" s="22"/>
      <c r="AN630" s="22"/>
      <c r="AO630" s="22"/>
      <c r="AP630" s="22"/>
      <c r="AQ630" s="22"/>
    </row>
    <row r="631" spans="1:43"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2"/>
      <c r="Y631" s="22"/>
      <c r="Z631" s="22"/>
      <c r="AA631" s="22"/>
      <c r="AB631" s="22"/>
      <c r="AC631" s="22"/>
      <c r="AD631" s="22"/>
      <c r="AE631" s="22"/>
      <c r="AF631" s="22"/>
      <c r="AG631" s="22"/>
      <c r="AH631" s="22"/>
      <c r="AI631" s="22"/>
      <c r="AJ631" s="22"/>
      <c r="AK631" s="22"/>
      <c r="AL631" s="22"/>
      <c r="AM631" s="22"/>
      <c r="AN631" s="22"/>
      <c r="AO631" s="22"/>
      <c r="AP631" s="22"/>
      <c r="AQ631" s="22"/>
    </row>
    <row r="632" spans="1:43"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2"/>
      <c r="Y632" s="22"/>
      <c r="Z632" s="22"/>
      <c r="AA632" s="22"/>
      <c r="AB632" s="22"/>
      <c r="AC632" s="22"/>
      <c r="AD632" s="22"/>
      <c r="AE632" s="22"/>
      <c r="AF632" s="22"/>
      <c r="AG632" s="22"/>
      <c r="AH632" s="22"/>
      <c r="AI632" s="22"/>
      <c r="AJ632" s="22"/>
      <c r="AK632" s="22"/>
      <c r="AL632" s="22"/>
      <c r="AM632" s="22"/>
      <c r="AN632" s="22"/>
      <c r="AO632" s="22"/>
      <c r="AP632" s="22"/>
      <c r="AQ632" s="22"/>
    </row>
    <row r="633" spans="1:43"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2"/>
      <c r="Y633" s="22"/>
      <c r="Z633" s="22"/>
      <c r="AA633" s="22"/>
      <c r="AB633" s="22"/>
      <c r="AC633" s="22"/>
      <c r="AD633" s="22"/>
      <c r="AE633" s="22"/>
      <c r="AF633" s="22"/>
      <c r="AG633" s="22"/>
      <c r="AH633" s="22"/>
      <c r="AI633" s="22"/>
      <c r="AJ633" s="22"/>
      <c r="AK633" s="22"/>
      <c r="AL633" s="22"/>
      <c r="AM633" s="22"/>
      <c r="AN633" s="22"/>
      <c r="AO633" s="22"/>
      <c r="AP633" s="22"/>
      <c r="AQ633" s="22"/>
    </row>
    <row r="634" spans="1:43"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2"/>
      <c r="Y634" s="22"/>
      <c r="Z634" s="22"/>
      <c r="AA634" s="22"/>
      <c r="AB634" s="22"/>
      <c r="AC634" s="22"/>
      <c r="AD634" s="22"/>
      <c r="AE634" s="22"/>
      <c r="AF634" s="22"/>
      <c r="AG634" s="22"/>
      <c r="AH634" s="22"/>
      <c r="AI634" s="22"/>
      <c r="AJ634" s="22"/>
      <c r="AK634" s="22"/>
      <c r="AL634" s="22"/>
      <c r="AM634" s="22"/>
      <c r="AN634" s="22"/>
      <c r="AO634" s="22"/>
      <c r="AP634" s="22"/>
      <c r="AQ634" s="22"/>
    </row>
    <row r="635" spans="1:43"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2"/>
      <c r="Y635" s="22"/>
      <c r="Z635" s="22"/>
      <c r="AA635" s="22"/>
      <c r="AB635" s="22"/>
      <c r="AC635" s="22"/>
      <c r="AD635" s="22"/>
      <c r="AE635" s="22"/>
      <c r="AF635" s="22"/>
      <c r="AG635" s="22"/>
      <c r="AH635" s="22"/>
      <c r="AI635" s="22"/>
      <c r="AJ635" s="22"/>
      <c r="AK635" s="22"/>
      <c r="AL635" s="22"/>
      <c r="AM635" s="22"/>
      <c r="AN635" s="22"/>
      <c r="AO635" s="22"/>
      <c r="AP635" s="22"/>
      <c r="AQ635" s="22"/>
    </row>
    <row r="636" spans="1:43"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2"/>
      <c r="Y636" s="22"/>
      <c r="Z636" s="22"/>
      <c r="AA636" s="22"/>
      <c r="AB636" s="22"/>
      <c r="AC636" s="22"/>
      <c r="AD636" s="22"/>
      <c r="AE636" s="22"/>
      <c r="AF636" s="22"/>
      <c r="AG636" s="22"/>
      <c r="AH636" s="22"/>
      <c r="AI636" s="22"/>
      <c r="AJ636" s="22"/>
      <c r="AK636" s="22"/>
      <c r="AL636" s="22"/>
      <c r="AM636" s="22"/>
      <c r="AN636" s="22"/>
      <c r="AO636" s="22"/>
      <c r="AP636" s="22"/>
      <c r="AQ636" s="22"/>
    </row>
    <row r="637" spans="1:43"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2"/>
      <c r="Y637" s="22"/>
      <c r="Z637" s="22"/>
      <c r="AA637" s="22"/>
      <c r="AB637" s="22"/>
      <c r="AC637" s="22"/>
      <c r="AD637" s="22"/>
      <c r="AE637" s="22"/>
      <c r="AF637" s="22"/>
      <c r="AG637" s="22"/>
      <c r="AH637" s="22"/>
      <c r="AI637" s="22"/>
      <c r="AJ637" s="22"/>
      <c r="AK637" s="22"/>
      <c r="AL637" s="22"/>
      <c r="AM637" s="22"/>
      <c r="AN637" s="22"/>
      <c r="AO637" s="22"/>
      <c r="AP637" s="22"/>
      <c r="AQ637" s="22"/>
    </row>
    <row r="638" spans="1:43"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2"/>
      <c r="Y638" s="22"/>
      <c r="Z638" s="22"/>
      <c r="AA638" s="22"/>
      <c r="AB638" s="22"/>
      <c r="AC638" s="22"/>
      <c r="AD638" s="22"/>
      <c r="AE638" s="22"/>
      <c r="AF638" s="22"/>
      <c r="AG638" s="22"/>
      <c r="AH638" s="22"/>
      <c r="AI638" s="22"/>
      <c r="AJ638" s="22"/>
      <c r="AK638" s="22"/>
      <c r="AL638" s="22"/>
      <c r="AM638" s="22"/>
      <c r="AN638" s="22"/>
      <c r="AO638" s="22"/>
      <c r="AP638" s="22"/>
      <c r="AQ638" s="22"/>
    </row>
    <row r="639" spans="1:43"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2"/>
      <c r="Y639" s="22"/>
      <c r="Z639" s="22"/>
      <c r="AA639" s="22"/>
      <c r="AB639" s="22"/>
      <c r="AC639" s="22"/>
      <c r="AD639" s="22"/>
      <c r="AE639" s="22"/>
      <c r="AF639" s="22"/>
      <c r="AG639" s="22"/>
      <c r="AH639" s="22"/>
      <c r="AI639" s="22"/>
      <c r="AJ639" s="22"/>
      <c r="AK639" s="22"/>
      <c r="AL639" s="22"/>
      <c r="AM639" s="22"/>
      <c r="AN639" s="22"/>
      <c r="AO639" s="22"/>
      <c r="AP639" s="22"/>
      <c r="AQ639" s="22"/>
    </row>
    <row r="640" spans="1:43"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2"/>
      <c r="Y640" s="22"/>
      <c r="Z640" s="22"/>
      <c r="AA640" s="22"/>
      <c r="AB640" s="22"/>
      <c r="AC640" s="22"/>
      <c r="AD640" s="22"/>
      <c r="AE640" s="22"/>
      <c r="AF640" s="22"/>
      <c r="AG640" s="22"/>
      <c r="AH640" s="22"/>
      <c r="AI640" s="22"/>
      <c r="AJ640" s="22"/>
      <c r="AK640" s="22"/>
      <c r="AL640" s="22"/>
      <c r="AM640" s="22"/>
      <c r="AN640" s="22"/>
      <c r="AO640" s="22"/>
      <c r="AP640" s="22"/>
      <c r="AQ640" s="22"/>
    </row>
    <row r="641" spans="1:43"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2"/>
      <c r="Y641" s="22"/>
      <c r="Z641" s="22"/>
      <c r="AA641" s="22"/>
      <c r="AB641" s="22"/>
      <c r="AC641" s="22"/>
      <c r="AD641" s="22"/>
      <c r="AE641" s="22"/>
      <c r="AF641" s="22"/>
      <c r="AG641" s="22"/>
      <c r="AH641" s="22"/>
      <c r="AI641" s="22"/>
      <c r="AJ641" s="22"/>
      <c r="AK641" s="22"/>
      <c r="AL641" s="22"/>
      <c r="AM641" s="22"/>
      <c r="AN641" s="22"/>
      <c r="AO641" s="22"/>
      <c r="AP641" s="22"/>
      <c r="AQ641" s="22"/>
    </row>
    <row r="642" spans="1:43"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2"/>
      <c r="Y642" s="22"/>
      <c r="Z642" s="22"/>
      <c r="AA642" s="22"/>
      <c r="AB642" s="22"/>
      <c r="AC642" s="22"/>
      <c r="AD642" s="22"/>
      <c r="AE642" s="22"/>
      <c r="AF642" s="22"/>
      <c r="AG642" s="22"/>
      <c r="AH642" s="22"/>
      <c r="AI642" s="22"/>
      <c r="AJ642" s="22"/>
      <c r="AK642" s="22"/>
      <c r="AL642" s="22"/>
      <c r="AM642" s="22"/>
      <c r="AN642" s="22"/>
      <c r="AO642" s="22"/>
      <c r="AP642" s="22"/>
      <c r="AQ642" s="22"/>
    </row>
    <row r="643" spans="1:43"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2"/>
      <c r="Y643" s="22"/>
      <c r="Z643" s="22"/>
      <c r="AA643" s="22"/>
      <c r="AB643" s="22"/>
      <c r="AC643" s="22"/>
      <c r="AD643" s="22"/>
      <c r="AE643" s="22"/>
      <c r="AF643" s="22"/>
      <c r="AG643" s="22"/>
      <c r="AH643" s="22"/>
      <c r="AI643" s="22"/>
      <c r="AJ643" s="22"/>
      <c r="AK643" s="22"/>
      <c r="AL643" s="22"/>
      <c r="AM643" s="22"/>
      <c r="AN643" s="22"/>
      <c r="AO643" s="22"/>
      <c r="AP643" s="22"/>
      <c r="AQ643" s="22"/>
    </row>
    <row r="644" spans="1:43"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2"/>
      <c r="Y644" s="22"/>
      <c r="Z644" s="22"/>
      <c r="AA644" s="22"/>
      <c r="AB644" s="22"/>
      <c r="AC644" s="22"/>
      <c r="AD644" s="22"/>
      <c r="AE644" s="22"/>
      <c r="AF644" s="22"/>
      <c r="AG644" s="22"/>
      <c r="AH644" s="22"/>
      <c r="AI644" s="22"/>
      <c r="AJ644" s="22"/>
      <c r="AK644" s="22"/>
      <c r="AL644" s="22"/>
      <c r="AM644" s="22"/>
      <c r="AN644" s="22"/>
      <c r="AO644" s="22"/>
      <c r="AP644" s="22"/>
      <c r="AQ644" s="22"/>
    </row>
    <row r="645" spans="1:43"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2"/>
      <c r="Y645" s="22"/>
      <c r="Z645" s="22"/>
      <c r="AA645" s="22"/>
      <c r="AB645" s="22"/>
      <c r="AC645" s="22"/>
      <c r="AD645" s="22"/>
      <c r="AE645" s="22"/>
      <c r="AF645" s="22"/>
      <c r="AG645" s="22"/>
      <c r="AH645" s="22"/>
      <c r="AI645" s="22"/>
      <c r="AJ645" s="22"/>
      <c r="AK645" s="22"/>
      <c r="AL645" s="22"/>
      <c r="AM645" s="22"/>
      <c r="AN645" s="22"/>
      <c r="AO645" s="22"/>
      <c r="AP645" s="22"/>
      <c r="AQ645" s="22"/>
    </row>
    <row r="646" spans="1:43"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2"/>
      <c r="Y646" s="22"/>
      <c r="Z646" s="22"/>
      <c r="AA646" s="22"/>
      <c r="AB646" s="22"/>
      <c r="AC646" s="22"/>
      <c r="AD646" s="22"/>
      <c r="AE646" s="22"/>
      <c r="AF646" s="22"/>
      <c r="AG646" s="22"/>
      <c r="AH646" s="22"/>
      <c r="AI646" s="22"/>
      <c r="AJ646" s="22"/>
      <c r="AK646" s="22"/>
      <c r="AL646" s="22"/>
      <c r="AM646" s="22"/>
      <c r="AN646" s="22"/>
      <c r="AO646" s="22"/>
      <c r="AP646" s="22"/>
      <c r="AQ646" s="22"/>
    </row>
    <row r="647" spans="1:43"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2"/>
      <c r="Y647" s="22"/>
      <c r="Z647" s="22"/>
      <c r="AA647" s="22"/>
      <c r="AB647" s="22"/>
      <c r="AC647" s="22"/>
      <c r="AD647" s="22"/>
      <c r="AE647" s="22"/>
      <c r="AF647" s="22"/>
      <c r="AG647" s="22"/>
      <c r="AH647" s="22"/>
      <c r="AI647" s="22"/>
      <c r="AJ647" s="22"/>
      <c r="AK647" s="22"/>
      <c r="AL647" s="22"/>
      <c r="AM647" s="22"/>
      <c r="AN647" s="22"/>
      <c r="AO647" s="22"/>
      <c r="AP647" s="22"/>
      <c r="AQ647" s="22"/>
    </row>
    <row r="648" spans="1:43"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2"/>
      <c r="Y648" s="22"/>
      <c r="Z648" s="22"/>
      <c r="AA648" s="22"/>
      <c r="AB648" s="22"/>
      <c r="AC648" s="22"/>
      <c r="AD648" s="22"/>
      <c r="AE648" s="22"/>
      <c r="AF648" s="22"/>
      <c r="AG648" s="22"/>
      <c r="AH648" s="22"/>
      <c r="AI648" s="22"/>
      <c r="AJ648" s="22"/>
      <c r="AK648" s="22"/>
      <c r="AL648" s="22"/>
      <c r="AM648" s="22"/>
      <c r="AN648" s="22"/>
      <c r="AO648" s="22"/>
      <c r="AP648" s="22"/>
      <c r="AQ648" s="22"/>
    </row>
    <row r="649" spans="1:43"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2"/>
      <c r="Y649" s="22"/>
      <c r="Z649" s="22"/>
      <c r="AA649" s="22"/>
      <c r="AB649" s="22"/>
      <c r="AC649" s="22"/>
      <c r="AD649" s="22"/>
      <c r="AE649" s="22"/>
      <c r="AF649" s="22"/>
      <c r="AG649" s="22"/>
      <c r="AH649" s="22"/>
      <c r="AI649" s="22"/>
      <c r="AJ649" s="22"/>
      <c r="AK649" s="22"/>
      <c r="AL649" s="22"/>
      <c r="AM649" s="22"/>
      <c r="AN649" s="22"/>
      <c r="AO649" s="22"/>
      <c r="AP649" s="22"/>
      <c r="AQ649" s="22"/>
    </row>
    <row r="650" spans="1:43"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2"/>
      <c r="Y650" s="22"/>
      <c r="Z650" s="22"/>
      <c r="AA650" s="22"/>
      <c r="AB650" s="22"/>
      <c r="AC650" s="22"/>
      <c r="AD650" s="22"/>
      <c r="AE650" s="22"/>
      <c r="AF650" s="22"/>
      <c r="AG650" s="22"/>
      <c r="AH650" s="22"/>
      <c r="AI650" s="22"/>
      <c r="AJ650" s="22"/>
      <c r="AK650" s="22"/>
      <c r="AL650" s="22"/>
      <c r="AM650" s="22"/>
      <c r="AN650" s="22"/>
      <c r="AO650" s="22"/>
      <c r="AP650" s="22"/>
      <c r="AQ650" s="22"/>
    </row>
    <row r="651" spans="1:43"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2"/>
      <c r="Y651" s="22"/>
      <c r="Z651" s="22"/>
      <c r="AA651" s="22"/>
      <c r="AB651" s="22"/>
      <c r="AC651" s="22"/>
      <c r="AD651" s="22"/>
      <c r="AE651" s="22"/>
      <c r="AF651" s="22"/>
      <c r="AG651" s="22"/>
      <c r="AH651" s="22"/>
      <c r="AI651" s="22"/>
      <c r="AJ651" s="22"/>
      <c r="AK651" s="22"/>
      <c r="AL651" s="22"/>
      <c r="AM651" s="22"/>
      <c r="AN651" s="22"/>
      <c r="AO651" s="22"/>
      <c r="AP651" s="22"/>
      <c r="AQ651" s="22"/>
    </row>
    <row r="652" spans="1:43"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2"/>
      <c r="Y652" s="22"/>
      <c r="Z652" s="22"/>
      <c r="AA652" s="22"/>
      <c r="AB652" s="22"/>
      <c r="AC652" s="22"/>
      <c r="AD652" s="22"/>
      <c r="AE652" s="22"/>
      <c r="AF652" s="22"/>
      <c r="AG652" s="22"/>
      <c r="AH652" s="22"/>
      <c r="AI652" s="22"/>
      <c r="AJ652" s="22"/>
      <c r="AK652" s="22"/>
      <c r="AL652" s="22"/>
      <c r="AM652" s="22"/>
      <c r="AN652" s="22"/>
      <c r="AO652" s="22"/>
      <c r="AP652" s="22"/>
      <c r="AQ652" s="22"/>
    </row>
    <row r="653" spans="1:43"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2"/>
      <c r="Y653" s="22"/>
      <c r="Z653" s="22"/>
      <c r="AA653" s="22"/>
      <c r="AB653" s="22"/>
      <c r="AC653" s="22"/>
      <c r="AD653" s="22"/>
      <c r="AE653" s="22"/>
      <c r="AF653" s="22"/>
      <c r="AG653" s="22"/>
      <c r="AH653" s="22"/>
      <c r="AI653" s="22"/>
      <c r="AJ653" s="22"/>
      <c r="AK653" s="22"/>
      <c r="AL653" s="22"/>
      <c r="AM653" s="22"/>
      <c r="AN653" s="22"/>
      <c r="AO653" s="22"/>
      <c r="AP653" s="22"/>
      <c r="AQ653" s="22"/>
    </row>
    <row r="654" spans="1:43"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2"/>
      <c r="Y654" s="22"/>
      <c r="Z654" s="22"/>
      <c r="AA654" s="22"/>
      <c r="AB654" s="22"/>
      <c r="AC654" s="22"/>
      <c r="AD654" s="22"/>
      <c r="AE654" s="22"/>
      <c r="AF654" s="22"/>
      <c r="AG654" s="22"/>
      <c r="AH654" s="22"/>
      <c r="AI654" s="22"/>
      <c r="AJ654" s="22"/>
      <c r="AK654" s="22"/>
      <c r="AL654" s="22"/>
      <c r="AM654" s="22"/>
      <c r="AN654" s="22"/>
      <c r="AO654" s="22"/>
      <c r="AP654" s="22"/>
      <c r="AQ654" s="22"/>
    </row>
    <row r="655" spans="1:43"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2"/>
      <c r="Y655" s="22"/>
      <c r="Z655" s="22"/>
      <c r="AA655" s="22"/>
      <c r="AB655" s="22"/>
      <c r="AC655" s="22"/>
      <c r="AD655" s="22"/>
      <c r="AE655" s="22"/>
      <c r="AF655" s="22"/>
      <c r="AG655" s="22"/>
      <c r="AH655" s="22"/>
      <c r="AI655" s="22"/>
      <c r="AJ655" s="22"/>
      <c r="AK655" s="22"/>
      <c r="AL655" s="22"/>
      <c r="AM655" s="22"/>
      <c r="AN655" s="22"/>
      <c r="AO655" s="22"/>
      <c r="AP655" s="22"/>
      <c r="AQ655" s="22"/>
    </row>
    <row r="656" spans="1:43"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2"/>
      <c r="Y656" s="22"/>
      <c r="Z656" s="22"/>
      <c r="AA656" s="22"/>
      <c r="AB656" s="22"/>
      <c r="AC656" s="22"/>
      <c r="AD656" s="22"/>
      <c r="AE656" s="22"/>
      <c r="AF656" s="22"/>
      <c r="AG656" s="22"/>
      <c r="AH656" s="22"/>
      <c r="AI656" s="22"/>
      <c r="AJ656" s="22"/>
      <c r="AK656" s="22"/>
      <c r="AL656" s="22"/>
      <c r="AM656" s="22"/>
      <c r="AN656" s="22"/>
      <c r="AO656" s="22"/>
      <c r="AP656" s="22"/>
      <c r="AQ656" s="22"/>
    </row>
    <row r="657" spans="1:43"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2"/>
      <c r="Y657" s="22"/>
      <c r="Z657" s="22"/>
      <c r="AA657" s="22"/>
      <c r="AB657" s="22"/>
      <c r="AC657" s="22"/>
      <c r="AD657" s="22"/>
      <c r="AE657" s="22"/>
      <c r="AF657" s="22"/>
      <c r="AG657" s="22"/>
      <c r="AH657" s="22"/>
      <c r="AI657" s="22"/>
      <c r="AJ657" s="22"/>
      <c r="AK657" s="22"/>
      <c r="AL657" s="22"/>
      <c r="AM657" s="22"/>
      <c r="AN657" s="22"/>
      <c r="AO657" s="22"/>
      <c r="AP657" s="22"/>
      <c r="AQ657" s="22"/>
    </row>
    <row r="658" spans="1:43"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2"/>
      <c r="Y658" s="22"/>
      <c r="Z658" s="22"/>
      <c r="AA658" s="22"/>
      <c r="AB658" s="22"/>
      <c r="AC658" s="22"/>
      <c r="AD658" s="22"/>
      <c r="AE658" s="22"/>
      <c r="AF658" s="22"/>
      <c r="AG658" s="22"/>
      <c r="AH658" s="22"/>
      <c r="AI658" s="22"/>
      <c r="AJ658" s="22"/>
      <c r="AK658" s="22"/>
      <c r="AL658" s="22"/>
      <c r="AM658" s="22"/>
      <c r="AN658" s="22"/>
      <c r="AO658" s="22"/>
      <c r="AP658" s="22"/>
      <c r="AQ658" s="22"/>
    </row>
    <row r="659" spans="1:43"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2"/>
      <c r="Y659" s="22"/>
      <c r="Z659" s="22"/>
      <c r="AA659" s="22"/>
      <c r="AB659" s="22"/>
      <c r="AC659" s="22"/>
      <c r="AD659" s="22"/>
      <c r="AE659" s="22"/>
      <c r="AF659" s="22"/>
      <c r="AG659" s="22"/>
      <c r="AH659" s="22"/>
      <c r="AI659" s="22"/>
      <c r="AJ659" s="22"/>
      <c r="AK659" s="22"/>
      <c r="AL659" s="22"/>
      <c r="AM659" s="22"/>
      <c r="AN659" s="22"/>
      <c r="AO659" s="22"/>
      <c r="AP659" s="22"/>
      <c r="AQ659" s="22"/>
    </row>
    <row r="660" spans="1:43"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2"/>
      <c r="Y660" s="22"/>
      <c r="Z660" s="22"/>
      <c r="AA660" s="22"/>
      <c r="AB660" s="22"/>
      <c r="AC660" s="22"/>
      <c r="AD660" s="22"/>
      <c r="AE660" s="22"/>
      <c r="AF660" s="22"/>
      <c r="AG660" s="22"/>
      <c r="AH660" s="22"/>
      <c r="AI660" s="22"/>
      <c r="AJ660" s="22"/>
      <c r="AK660" s="22"/>
      <c r="AL660" s="22"/>
      <c r="AM660" s="22"/>
      <c r="AN660" s="22"/>
      <c r="AO660" s="22"/>
      <c r="AP660" s="22"/>
      <c r="AQ660" s="22"/>
    </row>
    <row r="661" spans="1:43"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2"/>
      <c r="Y661" s="22"/>
      <c r="Z661" s="22"/>
      <c r="AA661" s="22"/>
      <c r="AB661" s="22"/>
      <c r="AC661" s="22"/>
      <c r="AD661" s="22"/>
      <c r="AE661" s="22"/>
      <c r="AF661" s="22"/>
      <c r="AG661" s="22"/>
      <c r="AH661" s="22"/>
      <c r="AI661" s="22"/>
      <c r="AJ661" s="22"/>
      <c r="AK661" s="22"/>
      <c r="AL661" s="22"/>
      <c r="AM661" s="22"/>
      <c r="AN661" s="22"/>
      <c r="AO661" s="22"/>
      <c r="AP661" s="22"/>
      <c r="AQ661" s="22"/>
    </row>
    <row r="662" spans="1:43"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2"/>
      <c r="Y662" s="22"/>
      <c r="Z662" s="22"/>
      <c r="AA662" s="22"/>
      <c r="AB662" s="22"/>
      <c r="AC662" s="22"/>
      <c r="AD662" s="22"/>
      <c r="AE662" s="22"/>
      <c r="AF662" s="22"/>
      <c r="AG662" s="22"/>
      <c r="AH662" s="22"/>
      <c r="AI662" s="22"/>
      <c r="AJ662" s="22"/>
      <c r="AK662" s="22"/>
      <c r="AL662" s="22"/>
      <c r="AM662" s="22"/>
      <c r="AN662" s="22"/>
      <c r="AO662" s="22"/>
      <c r="AP662" s="22"/>
      <c r="AQ662" s="22"/>
    </row>
    <row r="663" spans="1:43"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2"/>
      <c r="Y663" s="22"/>
      <c r="Z663" s="22"/>
      <c r="AA663" s="22"/>
      <c r="AB663" s="22"/>
      <c r="AC663" s="22"/>
      <c r="AD663" s="22"/>
      <c r="AE663" s="22"/>
      <c r="AF663" s="22"/>
      <c r="AG663" s="22"/>
      <c r="AH663" s="22"/>
      <c r="AI663" s="22"/>
      <c r="AJ663" s="22"/>
      <c r="AK663" s="22"/>
      <c r="AL663" s="22"/>
      <c r="AM663" s="22"/>
      <c r="AN663" s="22"/>
      <c r="AO663" s="22"/>
      <c r="AP663" s="22"/>
      <c r="AQ663" s="22"/>
    </row>
    <row r="664" spans="1:43"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2"/>
      <c r="Y664" s="22"/>
      <c r="Z664" s="22"/>
      <c r="AA664" s="22"/>
      <c r="AB664" s="22"/>
      <c r="AC664" s="22"/>
      <c r="AD664" s="22"/>
      <c r="AE664" s="22"/>
      <c r="AF664" s="22"/>
      <c r="AG664" s="22"/>
      <c r="AH664" s="22"/>
      <c r="AI664" s="22"/>
      <c r="AJ664" s="22"/>
      <c r="AK664" s="22"/>
      <c r="AL664" s="22"/>
      <c r="AM664" s="22"/>
      <c r="AN664" s="22"/>
      <c r="AO664" s="22"/>
      <c r="AP664" s="22"/>
      <c r="AQ664" s="22"/>
    </row>
    <row r="665" spans="1:43"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2"/>
      <c r="Y665" s="22"/>
      <c r="Z665" s="22"/>
      <c r="AA665" s="22"/>
      <c r="AB665" s="22"/>
      <c r="AC665" s="22"/>
      <c r="AD665" s="22"/>
      <c r="AE665" s="22"/>
      <c r="AF665" s="22"/>
      <c r="AG665" s="22"/>
      <c r="AH665" s="22"/>
      <c r="AI665" s="22"/>
      <c r="AJ665" s="22"/>
      <c r="AK665" s="22"/>
      <c r="AL665" s="22"/>
      <c r="AM665" s="22"/>
      <c r="AN665" s="22"/>
      <c r="AO665" s="22"/>
      <c r="AP665" s="22"/>
      <c r="AQ665" s="22"/>
    </row>
    <row r="666" spans="1:43"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2"/>
      <c r="Y666" s="22"/>
      <c r="Z666" s="22"/>
      <c r="AA666" s="22"/>
      <c r="AB666" s="22"/>
      <c r="AC666" s="22"/>
      <c r="AD666" s="22"/>
      <c r="AE666" s="22"/>
      <c r="AF666" s="22"/>
      <c r="AG666" s="22"/>
      <c r="AH666" s="22"/>
      <c r="AI666" s="22"/>
      <c r="AJ666" s="22"/>
      <c r="AK666" s="22"/>
      <c r="AL666" s="22"/>
      <c r="AM666" s="22"/>
      <c r="AN666" s="22"/>
      <c r="AO666" s="22"/>
      <c r="AP666" s="22"/>
      <c r="AQ666" s="22"/>
    </row>
    <row r="667" spans="1:43"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2"/>
      <c r="Y667" s="22"/>
      <c r="Z667" s="22"/>
      <c r="AA667" s="22"/>
      <c r="AB667" s="22"/>
      <c r="AC667" s="22"/>
      <c r="AD667" s="22"/>
      <c r="AE667" s="22"/>
      <c r="AF667" s="22"/>
      <c r="AG667" s="22"/>
      <c r="AH667" s="22"/>
      <c r="AI667" s="22"/>
      <c r="AJ667" s="22"/>
      <c r="AK667" s="22"/>
      <c r="AL667" s="22"/>
      <c r="AM667" s="22"/>
      <c r="AN667" s="22"/>
      <c r="AO667" s="22"/>
      <c r="AP667" s="22"/>
      <c r="AQ667" s="22"/>
    </row>
    <row r="668" spans="1:43"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2"/>
      <c r="Y668" s="22"/>
      <c r="Z668" s="22"/>
      <c r="AA668" s="22"/>
      <c r="AB668" s="22"/>
      <c r="AC668" s="22"/>
      <c r="AD668" s="22"/>
      <c r="AE668" s="22"/>
      <c r="AF668" s="22"/>
      <c r="AG668" s="22"/>
      <c r="AH668" s="22"/>
      <c r="AI668" s="22"/>
      <c r="AJ668" s="22"/>
      <c r="AK668" s="22"/>
      <c r="AL668" s="22"/>
      <c r="AM668" s="22"/>
      <c r="AN668" s="22"/>
      <c r="AO668" s="22"/>
      <c r="AP668" s="22"/>
      <c r="AQ668" s="22"/>
    </row>
    <row r="669" spans="1:43"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2"/>
      <c r="Y669" s="22"/>
      <c r="Z669" s="22"/>
      <c r="AA669" s="22"/>
      <c r="AB669" s="22"/>
      <c r="AC669" s="22"/>
      <c r="AD669" s="22"/>
      <c r="AE669" s="22"/>
      <c r="AF669" s="22"/>
      <c r="AG669" s="22"/>
      <c r="AH669" s="22"/>
      <c r="AI669" s="22"/>
      <c r="AJ669" s="22"/>
      <c r="AK669" s="22"/>
      <c r="AL669" s="22"/>
      <c r="AM669" s="22"/>
      <c r="AN669" s="22"/>
      <c r="AO669" s="22"/>
      <c r="AP669" s="22"/>
      <c r="AQ669" s="22"/>
    </row>
    <row r="670" spans="1:43"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2"/>
      <c r="Y670" s="22"/>
      <c r="Z670" s="22"/>
      <c r="AA670" s="22"/>
      <c r="AB670" s="22"/>
      <c r="AC670" s="22"/>
      <c r="AD670" s="22"/>
      <c r="AE670" s="22"/>
      <c r="AF670" s="22"/>
      <c r="AG670" s="22"/>
      <c r="AH670" s="22"/>
      <c r="AI670" s="22"/>
      <c r="AJ670" s="22"/>
      <c r="AK670" s="22"/>
      <c r="AL670" s="22"/>
      <c r="AM670" s="22"/>
      <c r="AN670" s="22"/>
      <c r="AO670" s="22"/>
      <c r="AP670" s="22"/>
      <c r="AQ670" s="22"/>
    </row>
    <row r="671" spans="1:43"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2"/>
      <c r="Y671" s="22"/>
      <c r="Z671" s="22"/>
      <c r="AA671" s="22"/>
      <c r="AB671" s="22"/>
      <c r="AC671" s="22"/>
      <c r="AD671" s="22"/>
      <c r="AE671" s="22"/>
      <c r="AF671" s="22"/>
      <c r="AG671" s="22"/>
      <c r="AH671" s="22"/>
      <c r="AI671" s="22"/>
      <c r="AJ671" s="22"/>
      <c r="AK671" s="22"/>
      <c r="AL671" s="22"/>
      <c r="AM671" s="22"/>
      <c r="AN671" s="22"/>
      <c r="AO671" s="22"/>
      <c r="AP671" s="22"/>
      <c r="AQ671" s="22"/>
    </row>
    <row r="672" spans="1:43"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2"/>
      <c r="Y672" s="22"/>
      <c r="Z672" s="22"/>
      <c r="AA672" s="22"/>
      <c r="AB672" s="22"/>
      <c r="AC672" s="22"/>
      <c r="AD672" s="22"/>
      <c r="AE672" s="22"/>
      <c r="AF672" s="22"/>
      <c r="AG672" s="22"/>
      <c r="AH672" s="22"/>
      <c r="AI672" s="22"/>
      <c r="AJ672" s="22"/>
      <c r="AK672" s="22"/>
      <c r="AL672" s="22"/>
      <c r="AM672" s="22"/>
      <c r="AN672" s="22"/>
      <c r="AO672" s="22"/>
      <c r="AP672" s="22"/>
      <c r="AQ672" s="22"/>
    </row>
    <row r="673" spans="1:43"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2"/>
      <c r="Y673" s="22"/>
      <c r="Z673" s="22"/>
      <c r="AA673" s="22"/>
      <c r="AB673" s="22"/>
      <c r="AC673" s="22"/>
      <c r="AD673" s="22"/>
      <c r="AE673" s="22"/>
      <c r="AF673" s="22"/>
      <c r="AG673" s="22"/>
      <c r="AH673" s="22"/>
      <c r="AI673" s="22"/>
      <c r="AJ673" s="22"/>
      <c r="AK673" s="22"/>
      <c r="AL673" s="22"/>
      <c r="AM673" s="22"/>
      <c r="AN673" s="22"/>
      <c r="AO673" s="22"/>
      <c r="AP673" s="22"/>
      <c r="AQ673" s="22"/>
    </row>
    <row r="674" spans="1:43"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2"/>
      <c r="Y674" s="22"/>
      <c r="Z674" s="22"/>
      <c r="AA674" s="22"/>
      <c r="AB674" s="22"/>
      <c r="AC674" s="22"/>
      <c r="AD674" s="22"/>
      <c r="AE674" s="22"/>
      <c r="AF674" s="22"/>
      <c r="AG674" s="22"/>
      <c r="AH674" s="22"/>
      <c r="AI674" s="22"/>
      <c r="AJ674" s="22"/>
      <c r="AK674" s="22"/>
      <c r="AL674" s="22"/>
      <c r="AM674" s="22"/>
      <c r="AN674" s="22"/>
      <c r="AO674" s="22"/>
      <c r="AP674" s="22"/>
      <c r="AQ674" s="22"/>
    </row>
    <row r="675" spans="1:43"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2"/>
      <c r="Y675" s="22"/>
      <c r="Z675" s="22"/>
      <c r="AA675" s="22"/>
      <c r="AB675" s="22"/>
      <c r="AC675" s="22"/>
      <c r="AD675" s="22"/>
      <c r="AE675" s="22"/>
      <c r="AF675" s="22"/>
      <c r="AG675" s="22"/>
      <c r="AH675" s="22"/>
      <c r="AI675" s="22"/>
      <c r="AJ675" s="22"/>
      <c r="AK675" s="22"/>
      <c r="AL675" s="22"/>
      <c r="AM675" s="22"/>
      <c r="AN675" s="22"/>
      <c r="AO675" s="22"/>
      <c r="AP675" s="22"/>
      <c r="AQ675" s="22"/>
    </row>
    <row r="676" spans="1:43"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2"/>
      <c r="Y676" s="22"/>
      <c r="Z676" s="22"/>
      <c r="AA676" s="22"/>
      <c r="AB676" s="22"/>
      <c r="AC676" s="22"/>
      <c r="AD676" s="22"/>
      <c r="AE676" s="22"/>
      <c r="AF676" s="22"/>
      <c r="AG676" s="22"/>
      <c r="AH676" s="22"/>
      <c r="AI676" s="22"/>
      <c r="AJ676" s="22"/>
      <c r="AK676" s="22"/>
      <c r="AL676" s="22"/>
      <c r="AM676" s="22"/>
      <c r="AN676" s="22"/>
      <c r="AO676" s="22"/>
      <c r="AP676" s="22"/>
      <c r="AQ676" s="22"/>
    </row>
    <row r="677" spans="1:43"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2"/>
      <c r="Y677" s="22"/>
      <c r="Z677" s="22"/>
      <c r="AA677" s="22"/>
      <c r="AB677" s="22"/>
      <c r="AC677" s="22"/>
      <c r="AD677" s="22"/>
      <c r="AE677" s="22"/>
      <c r="AF677" s="22"/>
      <c r="AG677" s="22"/>
      <c r="AH677" s="22"/>
      <c r="AI677" s="22"/>
      <c r="AJ677" s="22"/>
      <c r="AK677" s="22"/>
      <c r="AL677" s="22"/>
      <c r="AM677" s="22"/>
      <c r="AN677" s="22"/>
      <c r="AO677" s="22"/>
      <c r="AP677" s="22"/>
      <c r="AQ677" s="22"/>
    </row>
    <row r="678" spans="1:43"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2"/>
      <c r="Y678" s="22"/>
      <c r="Z678" s="22"/>
      <c r="AA678" s="22"/>
      <c r="AB678" s="22"/>
      <c r="AC678" s="22"/>
      <c r="AD678" s="22"/>
      <c r="AE678" s="22"/>
      <c r="AF678" s="22"/>
      <c r="AG678" s="22"/>
      <c r="AH678" s="22"/>
      <c r="AI678" s="22"/>
      <c r="AJ678" s="22"/>
      <c r="AK678" s="22"/>
      <c r="AL678" s="22"/>
      <c r="AM678" s="22"/>
      <c r="AN678" s="22"/>
      <c r="AO678" s="22"/>
      <c r="AP678" s="22"/>
      <c r="AQ678" s="22"/>
    </row>
    <row r="679" spans="1:43"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2"/>
      <c r="Y679" s="22"/>
      <c r="Z679" s="22"/>
      <c r="AA679" s="22"/>
      <c r="AB679" s="22"/>
      <c r="AC679" s="22"/>
      <c r="AD679" s="22"/>
      <c r="AE679" s="22"/>
      <c r="AF679" s="22"/>
      <c r="AG679" s="22"/>
      <c r="AH679" s="22"/>
      <c r="AI679" s="22"/>
      <c r="AJ679" s="22"/>
      <c r="AK679" s="22"/>
      <c r="AL679" s="22"/>
      <c r="AM679" s="22"/>
      <c r="AN679" s="22"/>
      <c r="AO679" s="22"/>
      <c r="AP679" s="22"/>
      <c r="AQ679" s="22"/>
    </row>
    <row r="680" spans="1:43"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2"/>
      <c r="Y680" s="22"/>
      <c r="Z680" s="22"/>
      <c r="AA680" s="22"/>
      <c r="AB680" s="22"/>
      <c r="AC680" s="22"/>
      <c r="AD680" s="22"/>
      <c r="AE680" s="22"/>
      <c r="AF680" s="22"/>
      <c r="AG680" s="22"/>
      <c r="AH680" s="22"/>
      <c r="AI680" s="22"/>
      <c r="AJ680" s="22"/>
      <c r="AK680" s="22"/>
      <c r="AL680" s="22"/>
      <c r="AM680" s="22"/>
      <c r="AN680" s="22"/>
      <c r="AO680" s="22"/>
      <c r="AP680" s="22"/>
      <c r="AQ680" s="22"/>
    </row>
    <row r="681" spans="1:43"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2"/>
      <c r="Y681" s="22"/>
      <c r="Z681" s="22"/>
      <c r="AA681" s="22"/>
      <c r="AB681" s="22"/>
      <c r="AC681" s="22"/>
      <c r="AD681" s="22"/>
      <c r="AE681" s="22"/>
      <c r="AF681" s="22"/>
      <c r="AG681" s="22"/>
      <c r="AH681" s="22"/>
      <c r="AI681" s="22"/>
      <c r="AJ681" s="22"/>
      <c r="AK681" s="22"/>
      <c r="AL681" s="22"/>
      <c r="AM681" s="22"/>
      <c r="AN681" s="22"/>
      <c r="AO681" s="22"/>
      <c r="AP681" s="22"/>
      <c r="AQ681" s="22"/>
    </row>
    <row r="682" spans="1:43"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2"/>
      <c r="Y682" s="22"/>
      <c r="Z682" s="22"/>
      <c r="AA682" s="22"/>
      <c r="AB682" s="22"/>
      <c r="AC682" s="22"/>
      <c r="AD682" s="22"/>
      <c r="AE682" s="22"/>
      <c r="AF682" s="22"/>
      <c r="AG682" s="22"/>
      <c r="AH682" s="22"/>
      <c r="AI682" s="22"/>
      <c r="AJ682" s="22"/>
      <c r="AK682" s="22"/>
      <c r="AL682" s="22"/>
      <c r="AM682" s="22"/>
      <c r="AN682" s="22"/>
      <c r="AO682" s="22"/>
      <c r="AP682" s="22"/>
      <c r="AQ682" s="22"/>
    </row>
    <row r="683" spans="1:43"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2"/>
      <c r="Y683" s="22"/>
      <c r="Z683" s="22"/>
      <c r="AA683" s="22"/>
      <c r="AB683" s="22"/>
      <c r="AC683" s="22"/>
      <c r="AD683" s="22"/>
      <c r="AE683" s="22"/>
      <c r="AF683" s="22"/>
      <c r="AG683" s="22"/>
      <c r="AH683" s="22"/>
      <c r="AI683" s="22"/>
      <c r="AJ683" s="22"/>
      <c r="AK683" s="22"/>
      <c r="AL683" s="22"/>
      <c r="AM683" s="22"/>
      <c r="AN683" s="22"/>
      <c r="AO683" s="22"/>
      <c r="AP683" s="22"/>
      <c r="AQ683" s="22"/>
    </row>
    <row r="684" spans="1:43"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2"/>
      <c r="Y684" s="22"/>
      <c r="Z684" s="22"/>
      <c r="AA684" s="22"/>
      <c r="AB684" s="22"/>
      <c r="AC684" s="22"/>
      <c r="AD684" s="22"/>
      <c r="AE684" s="22"/>
      <c r="AF684" s="22"/>
      <c r="AG684" s="22"/>
      <c r="AH684" s="22"/>
      <c r="AI684" s="22"/>
      <c r="AJ684" s="22"/>
      <c r="AK684" s="22"/>
      <c r="AL684" s="22"/>
      <c r="AM684" s="22"/>
      <c r="AN684" s="22"/>
      <c r="AO684" s="22"/>
      <c r="AP684" s="22"/>
      <c r="AQ684" s="22"/>
    </row>
    <row r="685" spans="1:43"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2"/>
      <c r="Y685" s="22"/>
      <c r="Z685" s="22"/>
      <c r="AA685" s="22"/>
      <c r="AB685" s="22"/>
      <c r="AC685" s="22"/>
      <c r="AD685" s="22"/>
      <c r="AE685" s="22"/>
      <c r="AF685" s="22"/>
      <c r="AG685" s="22"/>
      <c r="AH685" s="22"/>
      <c r="AI685" s="22"/>
      <c r="AJ685" s="22"/>
      <c r="AK685" s="22"/>
      <c r="AL685" s="22"/>
      <c r="AM685" s="22"/>
      <c r="AN685" s="22"/>
      <c r="AO685" s="22"/>
      <c r="AP685" s="22"/>
      <c r="AQ685" s="22"/>
    </row>
    <row r="686" spans="1:43"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2"/>
      <c r="Y686" s="22"/>
      <c r="Z686" s="22"/>
      <c r="AA686" s="22"/>
      <c r="AB686" s="22"/>
      <c r="AC686" s="22"/>
      <c r="AD686" s="22"/>
      <c r="AE686" s="22"/>
      <c r="AF686" s="22"/>
      <c r="AG686" s="22"/>
      <c r="AH686" s="22"/>
      <c r="AI686" s="22"/>
      <c r="AJ686" s="22"/>
      <c r="AK686" s="22"/>
      <c r="AL686" s="22"/>
      <c r="AM686" s="22"/>
      <c r="AN686" s="22"/>
      <c r="AO686" s="22"/>
      <c r="AP686" s="22"/>
      <c r="AQ686" s="22"/>
    </row>
    <row r="687" spans="1:43"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2"/>
      <c r="Y687" s="22"/>
      <c r="Z687" s="22"/>
      <c r="AA687" s="22"/>
      <c r="AB687" s="22"/>
      <c r="AC687" s="22"/>
      <c r="AD687" s="22"/>
      <c r="AE687" s="22"/>
      <c r="AF687" s="22"/>
      <c r="AG687" s="22"/>
      <c r="AH687" s="22"/>
      <c r="AI687" s="22"/>
      <c r="AJ687" s="22"/>
      <c r="AK687" s="22"/>
      <c r="AL687" s="22"/>
      <c r="AM687" s="22"/>
      <c r="AN687" s="22"/>
      <c r="AO687" s="22"/>
      <c r="AP687" s="22"/>
      <c r="AQ687" s="22"/>
    </row>
    <row r="688" spans="1:43"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2"/>
      <c r="Y688" s="22"/>
      <c r="Z688" s="22"/>
      <c r="AA688" s="22"/>
      <c r="AB688" s="22"/>
      <c r="AC688" s="22"/>
      <c r="AD688" s="22"/>
      <c r="AE688" s="22"/>
      <c r="AF688" s="22"/>
      <c r="AG688" s="22"/>
      <c r="AH688" s="22"/>
      <c r="AI688" s="22"/>
      <c r="AJ688" s="22"/>
      <c r="AK688" s="22"/>
      <c r="AL688" s="22"/>
      <c r="AM688" s="22"/>
      <c r="AN688" s="22"/>
      <c r="AO688" s="22"/>
      <c r="AP688" s="22"/>
      <c r="AQ688" s="22"/>
    </row>
    <row r="689" spans="1:43"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2"/>
      <c r="Y689" s="22"/>
      <c r="Z689" s="22"/>
      <c r="AA689" s="22"/>
      <c r="AB689" s="22"/>
      <c r="AC689" s="22"/>
      <c r="AD689" s="22"/>
      <c r="AE689" s="22"/>
      <c r="AF689" s="22"/>
      <c r="AG689" s="22"/>
      <c r="AH689" s="22"/>
      <c r="AI689" s="22"/>
      <c r="AJ689" s="22"/>
      <c r="AK689" s="22"/>
      <c r="AL689" s="22"/>
      <c r="AM689" s="22"/>
      <c r="AN689" s="22"/>
      <c r="AO689" s="22"/>
      <c r="AP689" s="22"/>
      <c r="AQ689" s="22"/>
    </row>
    <row r="690" spans="1:43"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2"/>
      <c r="Y690" s="22"/>
      <c r="Z690" s="22"/>
      <c r="AA690" s="22"/>
      <c r="AB690" s="22"/>
      <c r="AC690" s="22"/>
      <c r="AD690" s="22"/>
      <c r="AE690" s="22"/>
      <c r="AF690" s="22"/>
      <c r="AG690" s="22"/>
      <c r="AH690" s="22"/>
      <c r="AI690" s="22"/>
      <c r="AJ690" s="22"/>
      <c r="AK690" s="22"/>
      <c r="AL690" s="22"/>
      <c r="AM690" s="22"/>
      <c r="AN690" s="22"/>
      <c r="AO690" s="22"/>
      <c r="AP690" s="22"/>
      <c r="AQ690" s="22"/>
    </row>
    <row r="691" spans="1:43"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2"/>
      <c r="Y691" s="22"/>
      <c r="Z691" s="22"/>
      <c r="AA691" s="22"/>
      <c r="AB691" s="22"/>
      <c r="AC691" s="22"/>
      <c r="AD691" s="22"/>
      <c r="AE691" s="22"/>
      <c r="AF691" s="22"/>
      <c r="AG691" s="22"/>
      <c r="AH691" s="22"/>
      <c r="AI691" s="22"/>
      <c r="AJ691" s="22"/>
      <c r="AK691" s="22"/>
      <c r="AL691" s="22"/>
      <c r="AM691" s="22"/>
      <c r="AN691" s="22"/>
      <c r="AO691" s="22"/>
      <c r="AP691" s="22"/>
      <c r="AQ691" s="22"/>
    </row>
    <row r="692" spans="1:43"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2"/>
      <c r="Y692" s="22"/>
      <c r="Z692" s="22"/>
      <c r="AA692" s="22"/>
      <c r="AB692" s="22"/>
      <c r="AC692" s="22"/>
      <c r="AD692" s="22"/>
      <c r="AE692" s="22"/>
      <c r="AF692" s="22"/>
      <c r="AG692" s="22"/>
      <c r="AH692" s="22"/>
      <c r="AI692" s="22"/>
      <c r="AJ692" s="22"/>
      <c r="AK692" s="22"/>
      <c r="AL692" s="22"/>
      <c r="AM692" s="22"/>
      <c r="AN692" s="22"/>
      <c r="AO692" s="22"/>
      <c r="AP692" s="22"/>
      <c r="AQ692" s="22"/>
    </row>
    <row r="693" spans="1:43"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2"/>
      <c r="Y693" s="22"/>
      <c r="Z693" s="22"/>
      <c r="AA693" s="22"/>
      <c r="AB693" s="22"/>
      <c r="AC693" s="22"/>
      <c r="AD693" s="22"/>
      <c r="AE693" s="22"/>
      <c r="AF693" s="22"/>
      <c r="AG693" s="22"/>
      <c r="AH693" s="22"/>
      <c r="AI693" s="22"/>
      <c r="AJ693" s="22"/>
      <c r="AK693" s="22"/>
      <c r="AL693" s="22"/>
      <c r="AM693" s="22"/>
      <c r="AN693" s="22"/>
      <c r="AO693" s="22"/>
      <c r="AP693" s="22"/>
      <c r="AQ693" s="22"/>
    </row>
    <row r="694" spans="1:43"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2"/>
      <c r="Y694" s="22"/>
      <c r="Z694" s="22"/>
      <c r="AA694" s="22"/>
      <c r="AB694" s="22"/>
      <c r="AC694" s="22"/>
      <c r="AD694" s="22"/>
      <c r="AE694" s="22"/>
      <c r="AF694" s="22"/>
      <c r="AG694" s="22"/>
      <c r="AH694" s="22"/>
      <c r="AI694" s="22"/>
      <c r="AJ694" s="22"/>
      <c r="AK694" s="22"/>
      <c r="AL694" s="22"/>
      <c r="AM694" s="22"/>
      <c r="AN694" s="22"/>
      <c r="AO694" s="22"/>
      <c r="AP694" s="22"/>
      <c r="AQ694" s="22"/>
    </row>
    <row r="695" spans="1:43"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2"/>
      <c r="Y695" s="22"/>
      <c r="Z695" s="22"/>
      <c r="AA695" s="22"/>
      <c r="AB695" s="22"/>
      <c r="AC695" s="22"/>
      <c r="AD695" s="22"/>
      <c r="AE695" s="22"/>
      <c r="AF695" s="22"/>
      <c r="AG695" s="22"/>
      <c r="AH695" s="22"/>
      <c r="AI695" s="22"/>
      <c r="AJ695" s="22"/>
      <c r="AK695" s="22"/>
      <c r="AL695" s="22"/>
      <c r="AM695" s="22"/>
      <c r="AN695" s="22"/>
      <c r="AO695" s="22"/>
      <c r="AP695" s="22"/>
      <c r="AQ695" s="22"/>
    </row>
    <row r="696" spans="1:43"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2"/>
      <c r="Y696" s="22"/>
      <c r="Z696" s="22"/>
      <c r="AA696" s="22"/>
      <c r="AB696" s="22"/>
      <c r="AC696" s="22"/>
      <c r="AD696" s="22"/>
      <c r="AE696" s="22"/>
      <c r="AF696" s="22"/>
      <c r="AG696" s="22"/>
      <c r="AH696" s="22"/>
      <c r="AI696" s="22"/>
      <c r="AJ696" s="22"/>
      <c r="AK696" s="22"/>
      <c r="AL696" s="22"/>
      <c r="AM696" s="22"/>
      <c r="AN696" s="22"/>
      <c r="AO696" s="22"/>
      <c r="AP696" s="22"/>
      <c r="AQ696" s="22"/>
    </row>
    <row r="697" spans="1:43"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2"/>
      <c r="Y697" s="22"/>
      <c r="Z697" s="22"/>
      <c r="AA697" s="22"/>
      <c r="AB697" s="22"/>
      <c r="AC697" s="22"/>
      <c r="AD697" s="22"/>
      <c r="AE697" s="22"/>
      <c r="AF697" s="22"/>
      <c r="AG697" s="22"/>
      <c r="AH697" s="22"/>
      <c r="AI697" s="22"/>
      <c r="AJ697" s="22"/>
      <c r="AK697" s="22"/>
      <c r="AL697" s="22"/>
      <c r="AM697" s="22"/>
      <c r="AN697" s="22"/>
      <c r="AO697" s="22"/>
      <c r="AP697" s="22"/>
      <c r="AQ697" s="22"/>
    </row>
    <row r="698" spans="1:43"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2"/>
      <c r="Y698" s="22"/>
      <c r="Z698" s="22"/>
      <c r="AA698" s="22"/>
      <c r="AB698" s="22"/>
      <c r="AC698" s="22"/>
      <c r="AD698" s="22"/>
      <c r="AE698" s="22"/>
      <c r="AF698" s="22"/>
      <c r="AG698" s="22"/>
      <c r="AH698" s="22"/>
      <c r="AI698" s="22"/>
      <c r="AJ698" s="22"/>
      <c r="AK698" s="22"/>
      <c r="AL698" s="22"/>
      <c r="AM698" s="22"/>
      <c r="AN698" s="22"/>
      <c r="AO698" s="22"/>
      <c r="AP698" s="22"/>
      <c r="AQ698" s="22"/>
    </row>
    <row r="699" spans="1:43"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2"/>
      <c r="Y699" s="22"/>
      <c r="Z699" s="22"/>
      <c r="AA699" s="22"/>
      <c r="AB699" s="22"/>
      <c r="AC699" s="22"/>
      <c r="AD699" s="22"/>
      <c r="AE699" s="22"/>
      <c r="AF699" s="22"/>
      <c r="AG699" s="22"/>
      <c r="AH699" s="22"/>
      <c r="AI699" s="22"/>
      <c r="AJ699" s="22"/>
      <c r="AK699" s="22"/>
      <c r="AL699" s="22"/>
      <c r="AM699" s="22"/>
      <c r="AN699" s="22"/>
      <c r="AO699" s="22"/>
      <c r="AP699" s="22"/>
      <c r="AQ699" s="22"/>
    </row>
    <row r="700" spans="1:43"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2"/>
      <c r="Y700" s="22"/>
      <c r="Z700" s="22"/>
      <c r="AA700" s="22"/>
      <c r="AB700" s="22"/>
      <c r="AC700" s="22"/>
      <c r="AD700" s="22"/>
      <c r="AE700" s="22"/>
      <c r="AF700" s="22"/>
      <c r="AG700" s="22"/>
      <c r="AH700" s="22"/>
      <c r="AI700" s="22"/>
      <c r="AJ700" s="22"/>
      <c r="AK700" s="22"/>
      <c r="AL700" s="22"/>
      <c r="AM700" s="22"/>
      <c r="AN700" s="22"/>
      <c r="AO700" s="22"/>
      <c r="AP700" s="22"/>
      <c r="AQ700" s="22"/>
    </row>
    <row r="701" spans="1:43"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2"/>
      <c r="Y701" s="22"/>
      <c r="Z701" s="22"/>
      <c r="AA701" s="22"/>
      <c r="AB701" s="22"/>
      <c r="AC701" s="22"/>
      <c r="AD701" s="22"/>
      <c r="AE701" s="22"/>
      <c r="AF701" s="22"/>
      <c r="AG701" s="22"/>
      <c r="AH701" s="22"/>
      <c r="AI701" s="22"/>
      <c r="AJ701" s="22"/>
      <c r="AK701" s="22"/>
      <c r="AL701" s="22"/>
      <c r="AM701" s="22"/>
      <c r="AN701" s="22"/>
      <c r="AO701" s="22"/>
      <c r="AP701" s="22"/>
      <c r="AQ701" s="22"/>
    </row>
    <row r="702" spans="1:43"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2"/>
      <c r="Y702" s="22"/>
      <c r="Z702" s="22"/>
      <c r="AA702" s="22"/>
      <c r="AB702" s="22"/>
      <c r="AC702" s="22"/>
      <c r="AD702" s="22"/>
      <c r="AE702" s="22"/>
      <c r="AF702" s="22"/>
      <c r="AG702" s="22"/>
      <c r="AH702" s="22"/>
      <c r="AI702" s="22"/>
      <c r="AJ702" s="22"/>
      <c r="AK702" s="22"/>
      <c r="AL702" s="22"/>
      <c r="AM702" s="22"/>
      <c r="AN702" s="22"/>
      <c r="AO702" s="22"/>
      <c r="AP702" s="22"/>
      <c r="AQ702" s="22"/>
    </row>
    <row r="703" spans="1:43"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2"/>
      <c r="Y703" s="22"/>
      <c r="Z703" s="22"/>
      <c r="AA703" s="22"/>
      <c r="AB703" s="22"/>
      <c r="AC703" s="22"/>
      <c r="AD703" s="22"/>
      <c r="AE703" s="22"/>
      <c r="AF703" s="22"/>
      <c r="AG703" s="22"/>
      <c r="AH703" s="22"/>
      <c r="AI703" s="22"/>
      <c r="AJ703" s="22"/>
      <c r="AK703" s="22"/>
      <c r="AL703" s="22"/>
      <c r="AM703" s="22"/>
      <c r="AN703" s="22"/>
      <c r="AO703" s="22"/>
      <c r="AP703" s="22"/>
      <c r="AQ703" s="22"/>
    </row>
    <row r="704" spans="1:43"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2"/>
      <c r="Y704" s="22"/>
      <c r="Z704" s="22"/>
      <c r="AA704" s="22"/>
      <c r="AB704" s="22"/>
      <c r="AC704" s="22"/>
      <c r="AD704" s="22"/>
      <c r="AE704" s="22"/>
      <c r="AF704" s="22"/>
      <c r="AG704" s="22"/>
      <c r="AH704" s="22"/>
      <c r="AI704" s="22"/>
      <c r="AJ704" s="22"/>
      <c r="AK704" s="22"/>
      <c r="AL704" s="22"/>
      <c r="AM704" s="22"/>
      <c r="AN704" s="22"/>
      <c r="AO704" s="22"/>
      <c r="AP704" s="22"/>
      <c r="AQ704" s="22"/>
    </row>
    <row r="705" spans="1:43"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2"/>
      <c r="Y705" s="22"/>
      <c r="Z705" s="22"/>
      <c r="AA705" s="22"/>
      <c r="AB705" s="22"/>
      <c r="AC705" s="22"/>
      <c r="AD705" s="22"/>
      <c r="AE705" s="22"/>
      <c r="AF705" s="22"/>
      <c r="AG705" s="22"/>
      <c r="AH705" s="22"/>
      <c r="AI705" s="22"/>
      <c r="AJ705" s="22"/>
      <c r="AK705" s="22"/>
      <c r="AL705" s="22"/>
      <c r="AM705" s="22"/>
      <c r="AN705" s="22"/>
      <c r="AO705" s="22"/>
      <c r="AP705" s="22"/>
      <c r="AQ705" s="22"/>
    </row>
    <row r="706" spans="1:43"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2"/>
      <c r="Y706" s="22"/>
      <c r="Z706" s="22"/>
      <c r="AA706" s="22"/>
      <c r="AB706" s="22"/>
      <c r="AC706" s="22"/>
      <c r="AD706" s="22"/>
      <c r="AE706" s="22"/>
      <c r="AF706" s="22"/>
      <c r="AG706" s="22"/>
      <c r="AH706" s="22"/>
      <c r="AI706" s="22"/>
      <c r="AJ706" s="22"/>
      <c r="AK706" s="22"/>
      <c r="AL706" s="22"/>
      <c r="AM706" s="22"/>
      <c r="AN706" s="22"/>
      <c r="AO706" s="22"/>
      <c r="AP706" s="22"/>
      <c r="AQ706" s="22"/>
    </row>
    <row r="707" spans="1:43"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2"/>
      <c r="Y707" s="22"/>
      <c r="Z707" s="22"/>
      <c r="AA707" s="22"/>
      <c r="AB707" s="22"/>
      <c r="AC707" s="22"/>
      <c r="AD707" s="22"/>
      <c r="AE707" s="22"/>
      <c r="AF707" s="22"/>
      <c r="AG707" s="22"/>
      <c r="AH707" s="22"/>
      <c r="AI707" s="22"/>
      <c r="AJ707" s="22"/>
      <c r="AK707" s="22"/>
      <c r="AL707" s="22"/>
      <c r="AM707" s="22"/>
      <c r="AN707" s="22"/>
      <c r="AO707" s="22"/>
      <c r="AP707" s="22"/>
      <c r="AQ707" s="22"/>
    </row>
    <row r="708" spans="1:43"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2"/>
      <c r="Y708" s="22"/>
      <c r="Z708" s="22"/>
      <c r="AA708" s="22"/>
      <c r="AB708" s="22"/>
      <c r="AC708" s="22"/>
      <c r="AD708" s="22"/>
      <c r="AE708" s="22"/>
      <c r="AF708" s="22"/>
      <c r="AG708" s="22"/>
      <c r="AH708" s="22"/>
      <c r="AI708" s="22"/>
      <c r="AJ708" s="22"/>
      <c r="AK708" s="22"/>
      <c r="AL708" s="22"/>
      <c r="AM708" s="22"/>
      <c r="AN708" s="22"/>
      <c r="AO708" s="22"/>
      <c r="AP708" s="22"/>
      <c r="AQ708" s="22"/>
    </row>
    <row r="709" spans="1:43"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2"/>
      <c r="Y709" s="22"/>
      <c r="Z709" s="22"/>
      <c r="AA709" s="22"/>
      <c r="AB709" s="22"/>
      <c r="AC709" s="22"/>
      <c r="AD709" s="22"/>
      <c r="AE709" s="22"/>
      <c r="AF709" s="22"/>
      <c r="AG709" s="22"/>
      <c r="AH709" s="22"/>
      <c r="AI709" s="22"/>
      <c r="AJ709" s="22"/>
      <c r="AK709" s="22"/>
      <c r="AL709" s="22"/>
      <c r="AM709" s="22"/>
      <c r="AN709" s="22"/>
      <c r="AO709" s="22"/>
      <c r="AP709" s="22"/>
      <c r="AQ709" s="22"/>
    </row>
    <row r="710" spans="1:43"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2"/>
      <c r="Y710" s="22"/>
      <c r="Z710" s="22"/>
      <c r="AA710" s="22"/>
      <c r="AB710" s="22"/>
      <c r="AC710" s="22"/>
      <c r="AD710" s="22"/>
      <c r="AE710" s="22"/>
      <c r="AF710" s="22"/>
      <c r="AG710" s="22"/>
      <c r="AH710" s="22"/>
      <c r="AI710" s="22"/>
      <c r="AJ710" s="22"/>
      <c r="AK710" s="22"/>
      <c r="AL710" s="22"/>
      <c r="AM710" s="22"/>
      <c r="AN710" s="22"/>
      <c r="AO710" s="22"/>
      <c r="AP710" s="22"/>
      <c r="AQ710" s="22"/>
    </row>
    <row r="711" spans="1:43"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2"/>
      <c r="Y711" s="22"/>
      <c r="Z711" s="22"/>
      <c r="AA711" s="22"/>
      <c r="AB711" s="22"/>
      <c r="AC711" s="22"/>
      <c r="AD711" s="22"/>
      <c r="AE711" s="22"/>
      <c r="AF711" s="22"/>
      <c r="AG711" s="22"/>
      <c r="AH711" s="22"/>
      <c r="AI711" s="22"/>
      <c r="AJ711" s="22"/>
      <c r="AK711" s="22"/>
      <c r="AL711" s="22"/>
      <c r="AM711" s="22"/>
      <c r="AN711" s="22"/>
      <c r="AO711" s="22"/>
      <c r="AP711" s="22"/>
      <c r="AQ711" s="22"/>
    </row>
    <row r="712" spans="1:43"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2"/>
      <c r="Y712" s="22"/>
      <c r="Z712" s="22"/>
      <c r="AA712" s="22"/>
      <c r="AB712" s="22"/>
      <c r="AC712" s="22"/>
      <c r="AD712" s="22"/>
      <c r="AE712" s="22"/>
      <c r="AF712" s="22"/>
      <c r="AG712" s="22"/>
      <c r="AH712" s="22"/>
      <c r="AI712" s="22"/>
      <c r="AJ712" s="22"/>
      <c r="AK712" s="22"/>
      <c r="AL712" s="22"/>
      <c r="AM712" s="22"/>
      <c r="AN712" s="22"/>
      <c r="AO712" s="22"/>
      <c r="AP712" s="22"/>
      <c r="AQ712" s="22"/>
    </row>
    <row r="713" spans="1:43"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2"/>
      <c r="Y713" s="22"/>
      <c r="Z713" s="22"/>
      <c r="AA713" s="22"/>
      <c r="AB713" s="22"/>
      <c r="AC713" s="22"/>
      <c r="AD713" s="22"/>
      <c r="AE713" s="22"/>
      <c r="AF713" s="22"/>
      <c r="AG713" s="22"/>
      <c r="AH713" s="22"/>
      <c r="AI713" s="22"/>
      <c r="AJ713" s="22"/>
      <c r="AK713" s="22"/>
      <c r="AL713" s="22"/>
      <c r="AM713" s="22"/>
      <c r="AN713" s="22"/>
      <c r="AO713" s="22"/>
      <c r="AP713" s="22"/>
      <c r="AQ713" s="22"/>
    </row>
    <row r="714" spans="1:43"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2"/>
      <c r="Y714" s="22"/>
      <c r="Z714" s="22"/>
      <c r="AA714" s="22"/>
      <c r="AB714" s="22"/>
      <c r="AC714" s="22"/>
      <c r="AD714" s="22"/>
      <c r="AE714" s="22"/>
      <c r="AF714" s="22"/>
      <c r="AG714" s="22"/>
      <c r="AH714" s="22"/>
      <c r="AI714" s="22"/>
      <c r="AJ714" s="22"/>
      <c r="AK714" s="22"/>
      <c r="AL714" s="22"/>
      <c r="AM714" s="22"/>
      <c r="AN714" s="22"/>
      <c r="AO714" s="22"/>
      <c r="AP714" s="22"/>
      <c r="AQ714" s="22"/>
    </row>
    <row r="715" spans="1:43"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2"/>
      <c r="Y715" s="22"/>
      <c r="Z715" s="22"/>
      <c r="AA715" s="22"/>
      <c r="AB715" s="22"/>
      <c r="AC715" s="22"/>
      <c r="AD715" s="22"/>
      <c r="AE715" s="22"/>
      <c r="AF715" s="22"/>
      <c r="AG715" s="22"/>
      <c r="AH715" s="22"/>
      <c r="AI715" s="22"/>
      <c r="AJ715" s="22"/>
      <c r="AK715" s="22"/>
      <c r="AL715" s="22"/>
      <c r="AM715" s="22"/>
      <c r="AN715" s="22"/>
      <c r="AO715" s="22"/>
      <c r="AP715" s="22"/>
      <c r="AQ715" s="22"/>
    </row>
    <row r="716" spans="1:43"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2"/>
      <c r="Y716" s="22"/>
      <c r="Z716" s="22"/>
      <c r="AA716" s="22"/>
      <c r="AB716" s="22"/>
      <c r="AC716" s="22"/>
      <c r="AD716" s="22"/>
      <c r="AE716" s="22"/>
      <c r="AF716" s="22"/>
      <c r="AG716" s="22"/>
      <c r="AH716" s="22"/>
      <c r="AI716" s="22"/>
      <c r="AJ716" s="22"/>
      <c r="AK716" s="22"/>
      <c r="AL716" s="22"/>
      <c r="AM716" s="22"/>
      <c r="AN716" s="22"/>
      <c r="AO716" s="22"/>
      <c r="AP716" s="22"/>
      <c r="AQ716" s="22"/>
    </row>
    <row r="717" spans="1:43"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2"/>
      <c r="Y717" s="22"/>
      <c r="Z717" s="22"/>
      <c r="AA717" s="22"/>
      <c r="AB717" s="22"/>
      <c r="AC717" s="22"/>
      <c r="AD717" s="22"/>
      <c r="AE717" s="22"/>
      <c r="AF717" s="22"/>
      <c r="AG717" s="22"/>
      <c r="AH717" s="22"/>
      <c r="AI717" s="22"/>
      <c r="AJ717" s="22"/>
      <c r="AK717" s="22"/>
      <c r="AL717" s="22"/>
      <c r="AM717" s="22"/>
      <c r="AN717" s="22"/>
      <c r="AO717" s="22"/>
      <c r="AP717" s="22"/>
      <c r="AQ717" s="22"/>
    </row>
    <row r="718" spans="1:43"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2"/>
      <c r="Y718" s="22"/>
      <c r="Z718" s="22"/>
      <c r="AA718" s="22"/>
      <c r="AB718" s="22"/>
      <c r="AC718" s="22"/>
      <c r="AD718" s="22"/>
      <c r="AE718" s="22"/>
      <c r="AF718" s="22"/>
      <c r="AG718" s="22"/>
      <c r="AH718" s="22"/>
      <c r="AI718" s="22"/>
      <c r="AJ718" s="22"/>
      <c r="AK718" s="22"/>
      <c r="AL718" s="22"/>
      <c r="AM718" s="22"/>
      <c r="AN718" s="22"/>
      <c r="AO718" s="22"/>
      <c r="AP718" s="22"/>
      <c r="AQ718" s="22"/>
    </row>
    <row r="719" spans="1:43"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2"/>
      <c r="Y719" s="22"/>
      <c r="Z719" s="22"/>
      <c r="AA719" s="22"/>
      <c r="AB719" s="22"/>
      <c r="AC719" s="22"/>
      <c r="AD719" s="22"/>
      <c r="AE719" s="22"/>
      <c r="AF719" s="22"/>
      <c r="AG719" s="22"/>
      <c r="AH719" s="22"/>
      <c r="AI719" s="22"/>
      <c r="AJ719" s="22"/>
      <c r="AK719" s="22"/>
      <c r="AL719" s="22"/>
      <c r="AM719" s="22"/>
      <c r="AN719" s="22"/>
      <c r="AO719" s="22"/>
      <c r="AP719" s="22"/>
      <c r="AQ719" s="22"/>
    </row>
    <row r="720" spans="1:43"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2"/>
      <c r="Y720" s="22"/>
      <c r="Z720" s="22"/>
      <c r="AA720" s="22"/>
      <c r="AB720" s="22"/>
      <c r="AC720" s="22"/>
      <c r="AD720" s="22"/>
      <c r="AE720" s="22"/>
      <c r="AF720" s="22"/>
      <c r="AG720" s="22"/>
      <c r="AH720" s="22"/>
      <c r="AI720" s="22"/>
      <c r="AJ720" s="22"/>
      <c r="AK720" s="22"/>
      <c r="AL720" s="22"/>
      <c r="AM720" s="22"/>
      <c r="AN720" s="22"/>
      <c r="AO720" s="22"/>
      <c r="AP720" s="22"/>
      <c r="AQ720" s="22"/>
    </row>
    <row r="721" spans="1:43"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2"/>
      <c r="Y721" s="22"/>
      <c r="Z721" s="22"/>
      <c r="AA721" s="22"/>
      <c r="AB721" s="22"/>
      <c r="AC721" s="22"/>
      <c r="AD721" s="22"/>
      <c r="AE721" s="22"/>
      <c r="AF721" s="22"/>
      <c r="AG721" s="22"/>
      <c r="AH721" s="22"/>
      <c r="AI721" s="22"/>
      <c r="AJ721" s="22"/>
      <c r="AK721" s="22"/>
      <c r="AL721" s="22"/>
      <c r="AM721" s="22"/>
      <c r="AN721" s="22"/>
      <c r="AO721" s="22"/>
      <c r="AP721" s="22"/>
      <c r="AQ721" s="22"/>
    </row>
    <row r="722" spans="1:43"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2"/>
      <c r="Y722" s="22"/>
      <c r="Z722" s="22"/>
      <c r="AA722" s="22"/>
      <c r="AB722" s="22"/>
      <c r="AC722" s="22"/>
      <c r="AD722" s="22"/>
      <c r="AE722" s="22"/>
      <c r="AF722" s="22"/>
      <c r="AG722" s="22"/>
      <c r="AH722" s="22"/>
      <c r="AI722" s="22"/>
      <c r="AJ722" s="22"/>
      <c r="AK722" s="22"/>
      <c r="AL722" s="22"/>
      <c r="AM722" s="22"/>
      <c r="AN722" s="22"/>
      <c r="AO722" s="22"/>
      <c r="AP722" s="22"/>
      <c r="AQ722" s="22"/>
    </row>
    <row r="723" spans="1:43"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2"/>
      <c r="Y723" s="22"/>
      <c r="Z723" s="22"/>
      <c r="AA723" s="22"/>
      <c r="AB723" s="22"/>
      <c r="AC723" s="22"/>
      <c r="AD723" s="22"/>
      <c r="AE723" s="22"/>
      <c r="AF723" s="22"/>
      <c r="AG723" s="22"/>
      <c r="AH723" s="22"/>
      <c r="AI723" s="22"/>
      <c r="AJ723" s="22"/>
      <c r="AK723" s="22"/>
      <c r="AL723" s="22"/>
      <c r="AM723" s="22"/>
      <c r="AN723" s="22"/>
      <c r="AO723" s="22"/>
      <c r="AP723" s="22"/>
      <c r="AQ723" s="22"/>
    </row>
    <row r="724" spans="1:43"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2"/>
      <c r="Y724" s="22"/>
      <c r="Z724" s="22"/>
      <c r="AA724" s="22"/>
      <c r="AB724" s="22"/>
      <c r="AC724" s="22"/>
      <c r="AD724" s="22"/>
      <c r="AE724" s="22"/>
      <c r="AF724" s="22"/>
      <c r="AG724" s="22"/>
      <c r="AH724" s="22"/>
      <c r="AI724" s="22"/>
      <c r="AJ724" s="22"/>
      <c r="AK724" s="22"/>
      <c r="AL724" s="22"/>
      <c r="AM724" s="22"/>
      <c r="AN724" s="22"/>
      <c r="AO724" s="22"/>
      <c r="AP724" s="22"/>
      <c r="AQ724" s="22"/>
    </row>
    <row r="725" spans="1:43"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2"/>
      <c r="Y725" s="22"/>
      <c r="Z725" s="22"/>
      <c r="AA725" s="22"/>
      <c r="AB725" s="22"/>
      <c r="AC725" s="22"/>
      <c r="AD725" s="22"/>
      <c r="AE725" s="22"/>
      <c r="AF725" s="22"/>
      <c r="AG725" s="22"/>
      <c r="AH725" s="22"/>
      <c r="AI725" s="22"/>
      <c r="AJ725" s="22"/>
      <c r="AK725" s="22"/>
      <c r="AL725" s="22"/>
      <c r="AM725" s="22"/>
      <c r="AN725" s="22"/>
      <c r="AO725" s="22"/>
      <c r="AP725" s="22"/>
      <c r="AQ725" s="22"/>
    </row>
    <row r="726" spans="1:43"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2"/>
      <c r="Y726" s="22"/>
      <c r="Z726" s="22"/>
      <c r="AA726" s="22"/>
      <c r="AB726" s="22"/>
      <c r="AC726" s="22"/>
      <c r="AD726" s="22"/>
      <c r="AE726" s="22"/>
      <c r="AF726" s="22"/>
      <c r="AG726" s="22"/>
      <c r="AH726" s="22"/>
      <c r="AI726" s="22"/>
      <c r="AJ726" s="22"/>
      <c r="AK726" s="22"/>
      <c r="AL726" s="22"/>
      <c r="AM726" s="22"/>
      <c r="AN726" s="22"/>
      <c r="AO726" s="22"/>
      <c r="AP726" s="22"/>
      <c r="AQ726" s="22"/>
    </row>
    <row r="727" spans="1:43"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2"/>
      <c r="Y727" s="22"/>
      <c r="Z727" s="22"/>
      <c r="AA727" s="22"/>
      <c r="AB727" s="22"/>
      <c r="AC727" s="22"/>
      <c r="AD727" s="22"/>
      <c r="AE727" s="22"/>
      <c r="AF727" s="22"/>
      <c r="AG727" s="22"/>
      <c r="AH727" s="22"/>
      <c r="AI727" s="22"/>
      <c r="AJ727" s="22"/>
      <c r="AK727" s="22"/>
      <c r="AL727" s="22"/>
      <c r="AM727" s="22"/>
      <c r="AN727" s="22"/>
      <c r="AO727" s="22"/>
      <c r="AP727" s="22"/>
      <c r="AQ727" s="22"/>
    </row>
    <row r="728" spans="1:43"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2"/>
      <c r="Y728" s="22"/>
      <c r="Z728" s="22"/>
      <c r="AA728" s="22"/>
      <c r="AB728" s="22"/>
      <c r="AC728" s="22"/>
      <c r="AD728" s="22"/>
      <c r="AE728" s="22"/>
      <c r="AF728" s="22"/>
      <c r="AG728" s="22"/>
      <c r="AH728" s="22"/>
      <c r="AI728" s="22"/>
      <c r="AJ728" s="22"/>
      <c r="AK728" s="22"/>
      <c r="AL728" s="22"/>
      <c r="AM728" s="22"/>
      <c r="AN728" s="22"/>
      <c r="AO728" s="22"/>
      <c r="AP728" s="22"/>
      <c r="AQ728" s="22"/>
    </row>
    <row r="729" spans="1:43"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2"/>
      <c r="Y729" s="22"/>
      <c r="Z729" s="22"/>
      <c r="AA729" s="22"/>
      <c r="AB729" s="22"/>
      <c r="AC729" s="22"/>
      <c r="AD729" s="22"/>
      <c r="AE729" s="22"/>
      <c r="AF729" s="22"/>
      <c r="AG729" s="22"/>
      <c r="AH729" s="22"/>
      <c r="AI729" s="22"/>
      <c r="AJ729" s="22"/>
      <c r="AK729" s="22"/>
      <c r="AL729" s="22"/>
      <c r="AM729" s="22"/>
      <c r="AN729" s="22"/>
      <c r="AO729" s="22"/>
      <c r="AP729" s="22"/>
      <c r="AQ729" s="22"/>
    </row>
    <row r="730" spans="1:43"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2"/>
      <c r="Y730" s="22"/>
      <c r="Z730" s="22"/>
      <c r="AA730" s="22"/>
      <c r="AB730" s="22"/>
      <c r="AC730" s="22"/>
      <c r="AD730" s="22"/>
      <c r="AE730" s="22"/>
      <c r="AF730" s="22"/>
      <c r="AG730" s="22"/>
      <c r="AH730" s="22"/>
      <c r="AI730" s="22"/>
      <c r="AJ730" s="22"/>
      <c r="AK730" s="22"/>
      <c r="AL730" s="22"/>
      <c r="AM730" s="22"/>
      <c r="AN730" s="22"/>
      <c r="AO730" s="22"/>
      <c r="AP730" s="22"/>
      <c r="AQ730" s="22"/>
    </row>
    <row r="731" spans="1:43"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2"/>
      <c r="Y731" s="22"/>
      <c r="Z731" s="22"/>
      <c r="AA731" s="22"/>
      <c r="AB731" s="22"/>
      <c r="AC731" s="22"/>
      <c r="AD731" s="22"/>
      <c r="AE731" s="22"/>
      <c r="AF731" s="22"/>
      <c r="AG731" s="22"/>
      <c r="AH731" s="22"/>
      <c r="AI731" s="22"/>
      <c r="AJ731" s="22"/>
      <c r="AK731" s="22"/>
      <c r="AL731" s="22"/>
      <c r="AM731" s="22"/>
      <c r="AN731" s="22"/>
      <c r="AO731" s="22"/>
      <c r="AP731" s="22"/>
      <c r="AQ731" s="22"/>
    </row>
    <row r="732" spans="1:43"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2"/>
      <c r="Y732" s="22"/>
      <c r="Z732" s="22"/>
      <c r="AA732" s="22"/>
      <c r="AB732" s="22"/>
      <c r="AC732" s="22"/>
      <c r="AD732" s="22"/>
      <c r="AE732" s="22"/>
      <c r="AF732" s="22"/>
      <c r="AG732" s="22"/>
      <c r="AH732" s="22"/>
      <c r="AI732" s="22"/>
      <c r="AJ732" s="22"/>
      <c r="AK732" s="22"/>
      <c r="AL732" s="22"/>
      <c r="AM732" s="22"/>
      <c r="AN732" s="22"/>
      <c r="AO732" s="22"/>
      <c r="AP732" s="22"/>
      <c r="AQ732" s="22"/>
    </row>
    <row r="733" spans="1:43"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2"/>
      <c r="Y733" s="22"/>
      <c r="Z733" s="22"/>
      <c r="AA733" s="22"/>
      <c r="AB733" s="22"/>
      <c r="AC733" s="22"/>
      <c r="AD733" s="22"/>
      <c r="AE733" s="22"/>
      <c r="AF733" s="22"/>
      <c r="AG733" s="22"/>
      <c r="AH733" s="22"/>
      <c r="AI733" s="22"/>
      <c r="AJ733" s="22"/>
      <c r="AK733" s="22"/>
      <c r="AL733" s="22"/>
      <c r="AM733" s="22"/>
      <c r="AN733" s="22"/>
      <c r="AO733" s="22"/>
      <c r="AP733" s="22"/>
      <c r="AQ733" s="22"/>
    </row>
    <row r="734" spans="1:43"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2"/>
      <c r="Y734" s="22"/>
      <c r="Z734" s="22"/>
      <c r="AA734" s="22"/>
      <c r="AB734" s="22"/>
      <c r="AC734" s="22"/>
      <c r="AD734" s="22"/>
      <c r="AE734" s="22"/>
      <c r="AF734" s="22"/>
      <c r="AG734" s="22"/>
      <c r="AH734" s="22"/>
      <c r="AI734" s="22"/>
      <c r="AJ734" s="22"/>
      <c r="AK734" s="22"/>
      <c r="AL734" s="22"/>
      <c r="AM734" s="22"/>
      <c r="AN734" s="22"/>
      <c r="AO734" s="22"/>
      <c r="AP734" s="22"/>
      <c r="AQ734" s="22"/>
    </row>
    <row r="735" spans="1:43"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2"/>
      <c r="Y735" s="22"/>
      <c r="Z735" s="22"/>
      <c r="AA735" s="22"/>
      <c r="AB735" s="22"/>
      <c r="AC735" s="22"/>
      <c r="AD735" s="22"/>
      <c r="AE735" s="22"/>
      <c r="AF735" s="22"/>
      <c r="AG735" s="22"/>
      <c r="AH735" s="22"/>
      <c r="AI735" s="22"/>
      <c r="AJ735" s="22"/>
      <c r="AK735" s="22"/>
      <c r="AL735" s="22"/>
      <c r="AM735" s="22"/>
      <c r="AN735" s="22"/>
      <c r="AO735" s="22"/>
      <c r="AP735" s="22"/>
      <c r="AQ735" s="22"/>
    </row>
    <row r="736" spans="1:43"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2"/>
      <c r="Y736" s="22"/>
      <c r="Z736" s="22"/>
      <c r="AA736" s="22"/>
      <c r="AB736" s="22"/>
      <c r="AC736" s="22"/>
      <c r="AD736" s="22"/>
      <c r="AE736" s="22"/>
      <c r="AF736" s="22"/>
      <c r="AG736" s="22"/>
      <c r="AH736" s="22"/>
      <c r="AI736" s="22"/>
      <c r="AJ736" s="22"/>
      <c r="AK736" s="22"/>
      <c r="AL736" s="22"/>
      <c r="AM736" s="22"/>
      <c r="AN736" s="22"/>
      <c r="AO736" s="22"/>
      <c r="AP736" s="22"/>
      <c r="AQ736" s="22"/>
    </row>
    <row r="737" spans="1:43"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2"/>
      <c r="Y737" s="22"/>
      <c r="Z737" s="22"/>
      <c r="AA737" s="22"/>
      <c r="AB737" s="22"/>
      <c r="AC737" s="22"/>
      <c r="AD737" s="22"/>
      <c r="AE737" s="22"/>
      <c r="AF737" s="22"/>
      <c r="AG737" s="22"/>
      <c r="AH737" s="22"/>
      <c r="AI737" s="22"/>
      <c r="AJ737" s="22"/>
      <c r="AK737" s="22"/>
      <c r="AL737" s="22"/>
      <c r="AM737" s="22"/>
      <c r="AN737" s="22"/>
      <c r="AO737" s="22"/>
      <c r="AP737" s="22"/>
      <c r="AQ737" s="22"/>
    </row>
    <row r="738" spans="1:43"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2"/>
      <c r="Y738" s="22"/>
      <c r="Z738" s="22"/>
      <c r="AA738" s="22"/>
      <c r="AB738" s="22"/>
      <c r="AC738" s="22"/>
      <c r="AD738" s="22"/>
      <c r="AE738" s="22"/>
      <c r="AF738" s="22"/>
      <c r="AG738" s="22"/>
      <c r="AH738" s="22"/>
      <c r="AI738" s="22"/>
      <c r="AJ738" s="22"/>
      <c r="AK738" s="22"/>
      <c r="AL738" s="22"/>
      <c r="AM738" s="22"/>
      <c r="AN738" s="22"/>
      <c r="AO738" s="22"/>
      <c r="AP738" s="22"/>
      <c r="AQ738" s="22"/>
    </row>
    <row r="739" spans="1:43"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2"/>
      <c r="Y739" s="22"/>
      <c r="Z739" s="22"/>
      <c r="AA739" s="22"/>
      <c r="AB739" s="22"/>
      <c r="AC739" s="22"/>
      <c r="AD739" s="22"/>
      <c r="AE739" s="22"/>
      <c r="AF739" s="22"/>
      <c r="AG739" s="22"/>
      <c r="AH739" s="22"/>
      <c r="AI739" s="22"/>
      <c r="AJ739" s="22"/>
      <c r="AK739" s="22"/>
      <c r="AL739" s="22"/>
      <c r="AM739" s="22"/>
      <c r="AN739" s="22"/>
      <c r="AO739" s="22"/>
      <c r="AP739" s="22"/>
      <c r="AQ739" s="22"/>
    </row>
    <row r="740" spans="1:43"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2"/>
      <c r="Y740" s="22"/>
      <c r="Z740" s="22"/>
      <c r="AA740" s="22"/>
      <c r="AB740" s="22"/>
      <c r="AC740" s="22"/>
      <c r="AD740" s="22"/>
      <c r="AE740" s="22"/>
      <c r="AF740" s="22"/>
      <c r="AG740" s="22"/>
      <c r="AH740" s="22"/>
      <c r="AI740" s="22"/>
      <c r="AJ740" s="22"/>
      <c r="AK740" s="22"/>
      <c r="AL740" s="22"/>
      <c r="AM740" s="22"/>
      <c r="AN740" s="22"/>
      <c r="AO740" s="22"/>
      <c r="AP740" s="22"/>
      <c r="AQ740" s="22"/>
    </row>
    <row r="741" spans="1:43"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2"/>
      <c r="Y741" s="22"/>
      <c r="Z741" s="22"/>
      <c r="AA741" s="22"/>
      <c r="AB741" s="22"/>
      <c r="AC741" s="22"/>
      <c r="AD741" s="22"/>
      <c r="AE741" s="22"/>
      <c r="AF741" s="22"/>
      <c r="AG741" s="22"/>
      <c r="AH741" s="22"/>
      <c r="AI741" s="22"/>
      <c r="AJ741" s="22"/>
      <c r="AK741" s="22"/>
      <c r="AL741" s="22"/>
      <c r="AM741" s="22"/>
      <c r="AN741" s="22"/>
      <c r="AO741" s="22"/>
      <c r="AP741" s="22"/>
      <c r="AQ741" s="22"/>
    </row>
    <row r="742" spans="1:43"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2"/>
      <c r="Y742" s="22"/>
      <c r="Z742" s="22"/>
      <c r="AA742" s="22"/>
      <c r="AB742" s="22"/>
      <c r="AC742" s="22"/>
      <c r="AD742" s="22"/>
      <c r="AE742" s="22"/>
      <c r="AF742" s="22"/>
      <c r="AG742" s="22"/>
      <c r="AH742" s="22"/>
      <c r="AI742" s="22"/>
      <c r="AJ742" s="22"/>
      <c r="AK742" s="22"/>
      <c r="AL742" s="22"/>
      <c r="AM742" s="22"/>
      <c r="AN742" s="22"/>
      <c r="AO742" s="22"/>
      <c r="AP742" s="22"/>
      <c r="AQ742" s="22"/>
    </row>
    <row r="743" spans="1:43"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2"/>
      <c r="Y743" s="22"/>
      <c r="Z743" s="22"/>
      <c r="AA743" s="22"/>
      <c r="AB743" s="22"/>
      <c r="AC743" s="22"/>
      <c r="AD743" s="22"/>
      <c r="AE743" s="22"/>
      <c r="AF743" s="22"/>
      <c r="AG743" s="22"/>
      <c r="AH743" s="22"/>
      <c r="AI743" s="22"/>
      <c r="AJ743" s="22"/>
      <c r="AK743" s="22"/>
      <c r="AL743" s="22"/>
      <c r="AM743" s="22"/>
      <c r="AN743" s="22"/>
      <c r="AO743" s="22"/>
      <c r="AP743" s="22"/>
      <c r="AQ743" s="22"/>
    </row>
    <row r="744" spans="1:43"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2"/>
      <c r="Y744" s="22"/>
      <c r="Z744" s="22"/>
      <c r="AA744" s="22"/>
      <c r="AB744" s="22"/>
      <c r="AC744" s="22"/>
      <c r="AD744" s="22"/>
      <c r="AE744" s="22"/>
      <c r="AF744" s="22"/>
      <c r="AG744" s="22"/>
      <c r="AH744" s="22"/>
      <c r="AI744" s="22"/>
      <c r="AJ744" s="22"/>
      <c r="AK744" s="22"/>
      <c r="AL744" s="22"/>
      <c r="AM744" s="22"/>
      <c r="AN744" s="22"/>
      <c r="AO744" s="22"/>
      <c r="AP744" s="22"/>
      <c r="AQ744" s="22"/>
    </row>
    <row r="745" spans="1:43"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2"/>
      <c r="Y745" s="22"/>
      <c r="Z745" s="22"/>
      <c r="AA745" s="22"/>
      <c r="AB745" s="22"/>
      <c r="AC745" s="22"/>
      <c r="AD745" s="22"/>
      <c r="AE745" s="22"/>
      <c r="AF745" s="22"/>
      <c r="AG745" s="22"/>
      <c r="AH745" s="22"/>
      <c r="AI745" s="22"/>
      <c r="AJ745" s="22"/>
      <c r="AK745" s="22"/>
      <c r="AL745" s="22"/>
      <c r="AM745" s="22"/>
      <c r="AN745" s="22"/>
      <c r="AO745" s="22"/>
      <c r="AP745" s="22"/>
      <c r="AQ745" s="22"/>
    </row>
    <row r="746" spans="1:43"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2"/>
      <c r="Y746" s="22"/>
      <c r="Z746" s="22"/>
      <c r="AA746" s="22"/>
      <c r="AB746" s="22"/>
      <c r="AC746" s="22"/>
      <c r="AD746" s="22"/>
      <c r="AE746" s="22"/>
      <c r="AF746" s="22"/>
      <c r="AG746" s="22"/>
      <c r="AH746" s="22"/>
      <c r="AI746" s="22"/>
      <c r="AJ746" s="22"/>
      <c r="AK746" s="22"/>
      <c r="AL746" s="22"/>
      <c r="AM746" s="22"/>
      <c r="AN746" s="22"/>
      <c r="AO746" s="22"/>
      <c r="AP746" s="22"/>
      <c r="AQ746" s="22"/>
    </row>
    <row r="747" spans="1:43"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2"/>
      <c r="Y747" s="22"/>
      <c r="Z747" s="22"/>
      <c r="AA747" s="22"/>
      <c r="AB747" s="22"/>
      <c r="AC747" s="22"/>
      <c r="AD747" s="22"/>
      <c r="AE747" s="22"/>
      <c r="AF747" s="22"/>
      <c r="AG747" s="22"/>
      <c r="AH747" s="22"/>
      <c r="AI747" s="22"/>
      <c r="AJ747" s="22"/>
      <c r="AK747" s="22"/>
      <c r="AL747" s="22"/>
      <c r="AM747" s="22"/>
      <c r="AN747" s="22"/>
      <c r="AO747" s="22"/>
      <c r="AP747" s="22"/>
      <c r="AQ747" s="22"/>
    </row>
    <row r="748" spans="1:43"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2"/>
      <c r="Y748" s="22"/>
      <c r="Z748" s="22"/>
      <c r="AA748" s="22"/>
      <c r="AB748" s="22"/>
      <c r="AC748" s="22"/>
      <c r="AD748" s="22"/>
      <c r="AE748" s="22"/>
      <c r="AF748" s="22"/>
      <c r="AG748" s="22"/>
      <c r="AH748" s="22"/>
      <c r="AI748" s="22"/>
      <c r="AJ748" s="22"/>
      <c r="AK748" s="22"/>
      <c r="AL748" s="22"/>
      <c r="AM748" s="22"/>
      <c r="AN748" s="22"/>
      <c r="AO748" s="22"/>
      <c r="AP748" s="22"/>
      <c r="AQ748" s="22"/>
    </row>
    <row r="749" spans="1:43"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2"/>
      <c r="Y749" s="22"/>
      <c r="Z749" s="22"/>
      <c r="AA749" s="22"/>
      <c r="AB749" s="22"/>
      <c r="AC749" s="22"/>
      <c r="AD749" s="22"/>
      <c r="AE749" s="22"/>
      <c r="AF749" s="22"/>
      <c r="AG749" s="22"/>
      <c r="AH749" s="22"/>
      <c r="AI749" s="22"/>
      <c r="AJ749" s="22"/>
      <c r="AK749" s="22"/>
      <c r="AL749" s="22"/>
      <c r="AM749" s="22"/>
      <c r="AN749" s="22"/>
      <c r="AO749" s="22"/>
      <c r="AP749" s="22"/>
      <c r="AQ749" s="22"/>
    </row>
    <row r="750" spans="1:43"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2"/>
      <c r="Y750" s="22"/>
      <c r="Z750" s="22"/>
      <c r="AA750" s="22"/>
      <c r="AB750" s="22"/>
      <c r="AC750" s="22"/>
      <c r="AD750" s="22"/>
      <c r="AE750" s="22"/>
      <c r="AF750" s="22"/>
      <c r="AG750" s="22"/>
      <c r="AH750" s="22"/>
      <c r="AI750" s="22"/>
      <c r="AJ750" s="22"/>
      <c r="AK750" s="22"/>
      <c r="AL750" s="22"/>
      <c r="AM750" s="22"/>
      <c r="AN750" s="22"/>
      <c r="AO750" s="22"/>
      <c r="AP750" s="22"/>
      <c r="AQ750" s="22"/>
    </row>
    <row r="751" spans="1:43"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2"/>
      <c r="Y751" s="22"/>
      <c r="Z751" s="22"/>
      <c r="AA751" s="22"/>
      <c r="AB751" s="22"/>
      <c r="AC751" s="22"/>
      <c r="AD751" s="22"/>
      <c r="AE751" s="22"/>
      <c r="AF751" s="22"/>
      <c r="AG751" s="22"/>
      <c r="AH751" s="22"/>
      <c r="AI751" s="22"/>
      <c r="AJ751" s="22"/>
      <c r="AK751" s="22"/>
      <c r="AL751" s="22"/>
      <c r="AM751" s="22"/>
      <c r="AN751" s="22"/>
      <c r="AO751" s="22"/>
      <c r="AP751" s="22"/>
      <c r="AQ751" s="22"/>
    </row>
    <row r="752" spans="1:43"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2"/>
      <c r="Y752" s="22"/>
      <c r="Z752" s="22"/>
      <c r="AA752" s="22"/>
      <c r="AB752" s="22"/>
      <c r="AC752" s="22"/>
      <c r="AD752" s="22"/>
      <c r="AE752" s="22"/>
      <c r="AF752" s="22"/>
      <c r="AG752" s="22"/>
      <c r="AH752" s="22"/>
      <c r="AI752" s="22"/>
      <c r="AJ752" s="22"/>
      <c r="AK752" s="22"/>
      <c r="AL752" s="22"/>
      <c r="AM752" s="22"/>
      <c r="AN752" s="22"/>
      <c r="AO752" s="22"/>
      <c r="AP752" s="22"/>
      <c r="AQ752" s="22"/>
    </row>
    <row r="753" spans="1:43"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2"/>
      <c r="Y753" s="22"/>
      <c r="Z753" s="22"/>
      <c r="AA753" s="22"/>
      <c r="AB753" s="22"/>
      <c r="AC753" s="22"/>
      <c r="AD753" s="22"/>
      <c r="AE753" s="22"/>
      <c r="AF753" s="22"/>
      <c r="AG753" s="22"/>
      <c r="AH753" s="22"/>
      <c r="AI753" s="22"/>
      <c r="AJ753" s="22"/>
      <c r="AK753" s="22"/>
      <c r="AL753" s="22"/>
      <c r="AM753" s="22"/>
      <c r="AN753" s="22"/>
      <c r="AO753" s="22"/>
      <c r="AP753" s="22"/>
      <c r="AQ753" s="22"/>
    </row>
    <row r="754" spans="1:43"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2"/>
      <c r="Y754" s="22"/>
      <c r="Z754" s="22"/>
      <c r="AA754" s="22"/>
      <c r="AB754" s="22"/>
      <c r="AC754" s="22"/>
      <c r="AD754" s="22"/>
      <c r="AE754" s="22"/>
      <c r="AF754" s="22"/>
      <c r="AG754" s="22"/>
      <c r="AH754" s="22"/>
      <c r="AI754" s="22"/>
      <c r="AJ754" s="22"/>
      <c r="AK754" s="22"/>
      <c r="AL754" s="22"/>
      <c r="AM754" s="22"/>
      <c r="AN754" s="22"/>
      <c r="AO754" s="22"/>
      <c r="AP754" s="22"/>
      <c r="AQ754" s="22"/>
    </row>
    <row r="755" spans="1:43"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2"/>
      <c r="Y755" s="22"/>
      <c r="Z755" s="22"/>
      <c r="AA755" s="22"/>
      <c r="AB755" s="22"/>
      <c r="AC755" s="22"/>
      <c r="AD755" s="22"/>
      <c r="AE755" s="22"/>
      <c r="AF755" s="22"/>
      <c r="AG755" s="22"/>
      <c r="AH755" s="22"/>
      <c r="AI755" s="22"/>
      <c r="AJ755" s="22"/>
      <c r="AK755" s="22"/>
      <c r="AL755" s="22"/>
      <c r="AM755" s="22"/>
      <c r="AN755" s="22"/>
      <c r="AO755" s="22"/>
      <c r="AP755" s="22"/>
      <c r="AQ755" s="22"/>
    </row>
    <row r="756" spans="1:43"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2"/>
      <c r="Y756" s="22"/>
      <c r="Z756" s="22"/>
      <c r="AA756" s="22"/>
      <c r="AB756" s="22"/>
      <c r="AC756" s="22"/>
      <c r="AD756" s="22"/>
      <c r="AE756" s="22"/>
      <c r="AF756" s="22"/>
      <c r="AG756" s="22"/>
      <c r="AH756" s="22"/>
      <c r="AI756" s="22"/>
      <c r="AJ756" s="22"/>
      <c r="AK756" s="22"/>
      <c r="AL756" s="22"/>
      <c r="AM756" s="22"/>
      <c r="AN756" s="22"/>
      <c r="AO756" s="22"/>
      <c r="AP756" s="22"/>
      <c r="AQ756" s="22"/>
    </row>
    <row r="757" spans="1:43"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2"/>
      <c r="Y757" s="22"/>
      <c r="Z757" s="22"/>
      <c r="AA757" s="22"/>
      <c r="AB757" s="22"/>
      <c r="AC757" s="22"/>
      <c r="AD757" s="22"/>
      <c r="AE757" s="22"/>
      <c r="AF757" s="22"/>
      <c r="AG757" s="22"/>
      <c r="AH757" s="22"/>
      <c r="AI757" s="22"/>
      <c r="AJ757" s="22"/>
      <c r="AK757" s="22"/>
      <c r="AL757" s="22"/>
      <c r="AM757" s="22"/>
      <c r="AN757" s="22"/>
      <c r="AO757" s="22"/>
      <c r="AP757" s="22"/>
      <c r="AQ757" s="22"/>
    </row>
    <row r="758" spans="1:43"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2"/>
      <c r="Y758" s="22"/>
      <c r="Z758" s="22"/>
      <c r="AA758" s="22"/>
      <c r="AB758" s="22"/>
      <c r="AC758" s="22"/>
      <c r="AD758" s="22"/>
      <c r="AE758" s="22"/>
      <c r="AF758" s="22"/>
      <c r="AG758" s="22"/>
      <c r="AH758" s="22"/>
      <c r="AI758" s="22"/>
      <c r="AJ758" s="22"/>
      <c r="AK758" s="22"/>
      <c r="AL758" s="22"/>
      <c r="AM758" s="22"/>
      <c r="AN758" s="22"/>
      <c r="AO758" s="22"/>
      <c r="AP758" s="22"/>
      <c r="AQ758" s="22"/>
    </row>
    <row r="759" spans="1:43"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2"/>
      <c r="Y759" s="22"/>
      <c r="Z759" s="22"/>
      <c r="AA759" s="22"/>
      <c r="AB759" s="22"/>
      <c r="AC759" s="22"/>
      <c r="AD759" s="22"/>
      <c r="AE759" s="22"/>
      <c r="AF759" s="22"/>
      <c r="AG759" s="22"/>
      <c r="AH759" s="22"/>
      <c r="AI759" s="22"/>
      <c r="AJ759" s="22"/>
      <c r="AK759" s="22"/>
      <c r="AL759" s="22"/>
      <c r="AM759" s="22"/>
      <c r="AN759" s="22"/>
      <c r="AO759" s="22"/>
      <c r="AP759" s="22"/>
      <c r="AQ759" s="22"/>
    </row>
    <row r="760" spans="1:43"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2"/>
      <c r="Y760" s="22"/>
      <c r="Z760" s="22"/>
      <c r="AA760" s="22"/>
      <c r="AB760" s="22"/>
      <c r="AC760" s="22"/>
      <c r="AD760" s="22"/>
      <c r="AE760" s="22"/>
      <c r="AF760" s="22"/>
      <c r="AG760" s="22"/>
      <c r="AH760" s="22"/>
      <c r="AI760" s="22"/>
      <c r="AJ760" s="22"/>
      <c r="AK760" s="22"/>
      <c r="AL760" s="22"/>
      <c r="AM760" s="22"/>
      <c r="AN760" s="22"/>
      <c r="AO760" s="22"/>
      <c r="AP760" s="22"/>
      <c r="AQ760" s="22"/>
    </row>
    <row r="761" spans="1:43"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2"/>
      <c r="Y761" s="22"/>
      <c r="Z761" s="22"/>
      <c r="AA761" s="22"/>
      <c r="AB761" s="22"/>
      <c r="AC761" s="22"/>
      <c r="AD761" s="22"/>
      <c r="AE761" s="22"/>
      <c r="AF761" s="22"/>
      <c r="AG761" s="22"/>
      <c r="AH761" s="22"/>
      <c r="AI761" s="22"/>
      <c r="AJ761" s="22"/>
      <c r="AK761" s="22"/>
      <c r="AL761" s="22"/>
      <c r="AM761" s="22"/>
      <c r="AN761" s="22"/>
      <c r="AO761" s="22"/>
      <c r="AP761" s="22"/>
      <c r="AQ761" s="22"/>
    </row>
    <row r="762" spans="1:43"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2"/>
      <c r="Y762" s="22"/>
      <c r="Z762" s="22"/>
      <c r="AA762" s="22"/>
      <c r="AB762" s="22"/>
      <c r="AC762" s="22"/>
      <c r="AD762" s="22"/>
      <c r="AE762" s="22"/>
      <c r="AF762" s="22"/>
      <c r="AG762" s="22"/>
      <c r="AH762" s="22"/>
      <c r="AI762" s="22"/>
      <c r="AJ762" s="22"/>
      <c r="AK762" s="22"/>
      <c r="AL762" s="22"/>
      <c r="AM762" s="22"/>
      <c r="AN762" s="22"/>
      <c r="AO762" s="22"/>
      <c r="AP762" s="22"/>
      <c r="AQ762" s="22"/>
    </row>
    <row r="763" spans="1:43"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2"/>
      <c r="Y763" s="22"/>
      <c r="Z763" s="22"/>
      <c r="AA763" s="22"/>
      <c r="AB763" s="22"/>
      <c r="AC763" s="22"/>
      <c r="AD763" s="22"/>
      <c r="AE763" s="22"/>
      <c r="AF763" s="22"/>
      <c r="AG763" s="22"/>
      <c r="AH763" s="22"/>
      <c r="AI763" s="22"/>
      <c r="AJ763" s="22"/>
      <c r="AK763" s="22"/>
      <c r="AL763" s="22"/>
      <c r="AM763" s="22"/>
      <c r="AN763" s="22"/>
      <c r="AO763" s="22"/>
      <c r="AP763" s="22"/>
      <c r="AQ763" s="22"/>
    </row>
    <row r="764" spans="1:43"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2"/>
      <c r="Y764" s="22"/>
      <c r="Z764" s="22"/>
      <c r="AA764" s="22"/>
      <c r="AB764" s="22"/>
      <c r="AC764" s="22"/>
      <c r="AD764" s="22"/>
      <c r="AE764" s="22"/>
      <c r="AF764" s="22"/>
      <c r="AG764" s="22"/>
      <c r="AH764" s="22"/>
      <c r="AI764" s="22"/>
      <c r="AJ764" s="22"/>
      <c r="AK764" s="22"/>
      <c r="AL764" s="22"/>
      <c r="AM764" s="22"/>
      <c r="AN764" s="22"/>
      <c r="AO764" s="22"/>
      <c r="AP764" s="22"/>
      <c r="AQ764" s="22"/>
    </row>
    <row r="765" spans="1:43"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2"/>
      <c r="Y765" s="22"/>
      <c r="Z765" s="22"/>
      <c r="AA765" s="22"/>
      <c r="AB765" s="22"/>
      <c r="AC765" s="22"/>
      <c r="AD765" s="22"/>
      <c r="AE765" s="22"/>
      <c r="AF765" s="22"/>
      <c r="AG765" s="22"/>
      <c r="AH765" s="22"/>
      <c r="AI765" s="22"/>
      <c r="AJ765" s="22"/>
      <c r="AK765" s="22"/>
      <c r="AL765" s="22"/>
      <c r="AM765" s="22"/>
      <c r="AN765" s="22"/>
      <c r="AO765" s="22"/>
      <c r="AP765" s="22"/>
      <c r="AQ765" s="22"/>
    </row>
    <row r="766" spans="1:43"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2"/>
      <c r="Y766" s="22"/>
      <c r="Z766" s="22"/>
      <c r="AA766" s="22"/>
      <c r="AB766" s="22"/>
      <c r="AC766" s="22"/>
      <c r="AD766" s="22"/>
      <c r="AE766" s="22"/>
      <c r="AF766" s="22"/>
      <c r="AG766" s="22"/>
      <c r="AH766" s="22"/>
      <c r="AI766" s="22"/>
      <c r="AJ766" s="22"/>
      <c r="AK766" s="22"/>
      <c r="AL766" s="22"/>
      <c r="AM766" s="22"/>
      <c r="AN766" s="22"/>
      <c r="AO766" s="22"/>
      <c r="AP766" s="22"/>
      <c r="AQ766" s="22"/>
    </row>
    <row r="767" spans="1:43"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2"/>
      <c r="Y767" s="22"/>
      <c r="Z767" s="22"/>
      <c r="AA767" s="22"/>
      <c r="AB767" s="22"/>
      <c r="AC767" s="22"/>
      <c r="AD767" s="22"/>
      <c r="AE767" s="22"/>
      <c r="AF767" s="22"/>
      <c r="AG767" s="22"/>
      <c r="AH767" s="22"/>
      <c r="AI767" s="22"/>
      <c r="AJ767" s="22"/>
      <c r="AK767" s="22"/>
      <c r="AL767" s="22"/>
      <c r="AM767" s="22"/>
      <c r="AN767" s="22"/>
      <c r="AO767" s="22"/>
      <c r="AP767" s="22"/>
      <c r="AQ767" s="22"/>
    </row>
    <row r="768" spans="1:43"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2"/>
      <c r="Y768" s="22"/>
      <c r="Z768" s="22"/>
      <c r="AA768" s="22"/>
      <c r="AB768" s="22"/>
      <c r="AC768" s="22"/>
      <c r="AD768" s="22"/>
      <c r="AE768" s="22"/>
      <c r="AF768" s="22"/>
      <c r="AG768" s="22"/>
      <c r="AH768" s="22"/>
      <c r="AI768" s="22"/>
      <c r="AJ768" s="22"/>
      <c r="AK768" s="22"/>
      <c r="AL768" s="22"/>
      <c r="AM768" s="22"/>
      <c r="AN768" s="22"/>
      <c r="AO768" s="22"/>
      <c r="AP768" s="22"/>
      <c r="AQ768" s="22"/>
    </row>
    <row r="769" spans="1:43"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2"/>
      <c r="Y769" s="22"/>
      <c r="Z769" s="22"/>
      <c r="AA769" s="22"/>
      <c r="AB769" s="22"/>
      <c r="AC769" s="22"/>
      <c r="AD769" s="22"/>
      <c r="AE769" s="22"/>
      <c r="AF769" s="22"/>
      <c r="AG769" s="22"/>
      <c r="AH769" s="22"/>
      <c r="AI769" s="22"/>
      <c r="AJ769" s="22"/>
      <c r="AK769" s="22"/>
      <c r="AL769" s="22"/>
      <c r="AM769" s="22"/>
      <c r="AN769" s="22"/>
      <c r="AO769" s="22"/>
      <c r="AP769" s="22"/>
      <c r="AQ769" s="22"/>
    </row>
    <row r="770" spans="1:43"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2"/>
      <c r="Y770" s="22"/>
      <c r="Z770" s="22"/>
      <c r="AA770" s="22"/>
      <c r="AB770" s="22"/>
      <c r="AC770" s="22"/>
      <c r="AD770" s="22"/>
      <c r="AE770" s="22"/>
      <c r="AF770" s="22"/>
      <c r="AG770" s="22"/>
      <c r="AH770" s="22"/>
      <c r="AI770" s="22"/>
      <c r="AJ770" s="22"/>
      <c r="AK770" s="22"/>
      <c r="AL770" s="22"/>
      <c r="AM770" s="22"/>
      <c r="AN770" s="22"/>
      <c r="AO770" s="22"/>
      <c r="AP770" s="22"/>
      <c r="AQ770" s="22"/>
    </row>
    <row r="771" spans="1:43"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2"/>
      <c r="Y771" s="22"/>
      <c r="Z771" s="22"/>
      <c r="AA771" s="22"/>
      <c r="AB771" s="22"/>
      <c r="AC771" s="22"/>
      <c r="AD771" s="22"/>
      <c r="AE771" s="22"/>
      <c r="AF771" s="22"/>
      <c r="AG771" s="22"/>
      <c r="AH771" s="22"/>
      <c r="AI771" s="22"/>
      <c r="AJ771" s="22"/>
      <c r="AK771" s="22"/>
      <c r="AL771" s="22"/>
      <c r="AM771" s="22"/>
      <c r="AN771" s="22"/>
      <c r="AO771" s="22"/>
      <c r="AP771" s="22"/>
      <c r="AQ771" s="22"/>
    </row>
    <row r="772" spans="1:43"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2"/>
      <c r="Y772" s="22"/>
      <c r="Z772" s="22"/>
      <c r="AA772" s="22"/>
      <c r="AB772" s="22"/>
      <c r="AC772" s="22"/>
      <c r="AD772" s="22"/>
      <c r="AE772" s="22"/>
      <c r="AF772" s="22"/>
      <c r="AG772" s="22"/>
      <c r="AH772" s="22"/>
      <c r="AI772" s="22"/>
      <c r="AJ772" s="22"/>
      <c r="AK772" s="22"/>
      <c r="AL772" s="22"/>
      <c r="AM772" s="22"/>
      <c r="AN772" s="22"/>
      <c r="AO772" s="22"/>
      <c r="AP772" s="22"/>
      <c r="AQ772" s="22"/>
    </row>
    <row r="773" spans="1:43"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2"/>
      <c r="Y773" s="22"/>
      <c r="Z773" s="22"/>
      <c r="AA773" s="22"/>
      <c r="AB773" s="22"/>
      <c r="AC773" s="22"/>
      <c r="AD773" s="22"/>
      <c r="AE773" s="22"/>
      <c r="AF773" s="22"/>
      <c r="AG773" s="22"/>
      <c r="AH773" s="22"/>
      <c r="AI773" s="22"/>
      <c r="AJ773" s="22"/>
      <c r="AK773" s="22"/>
      <c r="AL773" s="22"/>
      <c r="AM773" s="22"/>
      <c r="AN773" s="22"/>
      <c r="AO773" s="22"/>
      <c r="AP773" s="22"/>
      <c r="AQ773" s="22"/>
    </row>
    <row r="774" spans="1:43"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2"/>
      <c r="Y774" s="22"/>
      <c r="Z774" s="22"/>
      <c r="AA774" s="22"/>
      <c r="AB774" s="22"/>
      <c r="AC774" s="22"/>
      <c r="AD774" s="22"/>
      <c r="AE774" s="22"/>
      <c r="AF774" s="22"/>
      <c r="AG774" s="22"/>
      <c r="AH774" s="22"/>
      <c r="AI774" s="22"/>
      <c r="AJ774" s="22"/>
      <c r="AK774" s="22"/>
      <c r="AL774" s="22"/>
      <c r="AM774" s="22"/>
      <c r="AN774" s="22"/>
      <c r="AO774" s="22"/>
      <c r="AP774" s="22"/>
      <c r="AQ774" s="22"/>
    </row>
    <row r="775" spans="1:43"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2"/>
      <c r="Y775" s="22"/>
      <c r="Z775" s="22"/>
      <c r="AA775" s="22"/>
      <c r="AB775" s="22"/>
      <c r="AC775" s="22"/>
      <c r="AD775" s="22"/>
      <c r="AE775" s="22"/>
      <c r="AF775" s="22"/>
      <c r="AG775" s="22"/>
      <c r="AH775" s="22"/>
      <c r="AI775" s="22"/>
      <c r="AJ775" s="22"/>
      <c r="AK775" s="22"/>
      <c r="AL775" s="22"/>
      <c r="AM775" s="22"/>
      <c r="AN775" s="22"/>
      <c r="AO775" s="22"/>
      <c r="AP775" s="22"/>
      <c r="AQ775" s="22"/>
    </row>
    <row r="776" spans="1:43"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2"/>
      <c r="Y776" s="22"/>
      <c r="Z776" s="22"/>
      <c r="AA776" s="22"/>
      <c r="AB776" s="22"/>
      <c r="AC776" s="22"/>
      <c r="AD776" s="22"/>
      <c r="AE776" s="22"/>
      <c r="AF776" s="22"/>
      <c r="AG776" s="22"/>
      <c r="AH776" s="22"/>
      <c r="AI776" s="22"/>
      <c r="AJ776" s="22"/>
      <c r="AK776" s="22"/>
      <c r="AL776" s="22"/>
      <c r="AM776" s="22"/>
      <c r="AN776" s="22"/>
      <c r="AO776" s="22"/>
      <c r="AP776" s="22"/>
      <c r="AQ776" s="22"/>
    </row>
    <row r="777" spans="1:43"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2"/>
      <c r="Y777" s="22"/>
      <c r="Z777" s="22"/>
      <c r="AA777" s="22"/>
      <c r="AB777" s="22"/>
      <c r="AC777" s="22"/>
      <c r="AD777" s="22"/>
      <c r="AE777" s="22"/>
      <c r="AF777" s="22"/>
      <c r="AG777" s="22"/>
      <c r="AH777" s="22"/>
      <c r="AI777" s="22"/>
      <c r="AJ777" s="22"/>
      <c r="AK777" s="22"/>
      <c r="AL777" s="22"/>
      <c r="AM777" s="22"/>
      <c r="AN777" s="22"/>
      <c r="AO777" s="22"/>
      <c r="AP777" s="22"/>
      <c r="AQ777" s="22"/>
    </row>
    <row r="778" spans="1:43"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2"/>
      <c r="Y778" s="22"/>
      <c r="Z778" s="22"/>
      <c r="AA778" s="22"/>
      <c r="AB778" s="22"/>
      <c r="AC778" s="22"/>
      <c r="AD778" s="22"/>
      <c r="AE778" s="22"/>
      <c r="AF778" s="22"/>
      <c r="AG778" s="22"/>
      <c r="AH778" s="22"/>
      <c r="AI778" s="22"/>
      <c r="AJ778" s="22"/>
      <c r="AK778" s="22"/>
      <c r="AL778" s="22"/>
      <c r="AM778" s="22"/>
      <c r="AN778" s="22"/>
      <c r="AO778" s="22"/>
      <c r="AP778" s="22"/>
      <c r="AQ778" s="22"/>
    </row>
    <row r="779" spans="1:43"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2"/>
      <c r="Y779" s="22"/>
      <c r="Z779" s="22"/>
      <c r="AA779" s="22"/>
      <c r="AB779" s="22"/>
      <c r="AC779" s="22"/>
      <c r="AD779" s="22"/>
      <c r="AE779" s="22"/>
      <c r="AF779" s="22"/>
      <c r="AG779" s="22"/>
      <c r="AH779" s="22"/>
      <c r="AI779" s="22"/>
      <c r="AJ779" s="22"/>
      <c r="AK779" s="22"/>
      <c r="AL779" s="22"/>
      <c r="AM779" s="22"/>
      <c r="AN779" s="22"/>
      <c r="AO779" s="22"/>
      <c r="AP779" s="22"/>
      <c r="AQ779" s="22"/>
    </row>
    <row r="780" spans="1:43"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2"/>
      <c r="Y780" s="22"/>
      <c r="Z780" s="22"/>
      <c r="AA780" s="22"/>
      <c r="AB780" s="22"/>
      <c r="AC780" s="22"/>
      <c r="AD780" s="22"/>
      <c r="AE780" s="22"/>
      <c r="AF780" s="22"/>
      <c r="AG780" s="22"/>
      <c r="AH780" s="22"/>
      <c r="AI780" s="22"/>
      <c r="AJ780" s="22"/>
      <c r="AK780" s="22"/>
      <c r="AL780" s="22"/>
      <c r="AM780" s="22"/>
      <c r="AN780" s="22"/>
      <c r="AO780" s="22"/>
      <c r="AP780" s="22"/>
      <c r="AQ780" s="22"/>
    </row>
    <row r="781" spans="1:43"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2"/>
      <c r="Y781" s="22"/>
      <c r="Z781" s="22"/>
      <c r="AA781" s="22"/>
      <c r="AB781" s="22"/>
      <c r="AC781" s="22"/>
      <c r="AD781" s="22"/>
      <c r="AE781" s="22"/>
      <c r="AF781" s="22"/>
      <c r="AG781" s="22"/>
      <c r="AH781" s="22"/>
      <c r="AI781" s="22"/>
      <c r="AJ781" s="22"/>
      <c r="AK781" s="22"/>
      <c r="AL781" s="22"/>
      <c r="AM781" s="22"/>
      <c r="AN781" s="22"/>
      <c r="AO781" s="22"/>
      <c r="AP781" s="22"/>
      <c r="AQ781" s="22"/>
    </row>
    <row r="782" spans="1:43"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2"/>
      <c r="Y782" s="22"/>
      <c r="Z782" s="22"/>
      <c r="AA782" s="22"/>
      <c r="AB782" s="22"/>
      <c r="AC782" s="22"/>
      <c r="AD782" s="22"/>
      <c r="AE782" s="22"/>
      <c r="AF782" s="22"/>
      <c r="AG782" s="22"/>
      <c r="AH782" s="22"/>
      <c r="AI782" s="22"/>
      <c r="AJ782" s="22"/>
      <c r="AK782" s="22"/>
      <c r="AL782" s="22"/>
      <c r="AM782" s="22"/>
      <c r="AN782" s="22"/>
      <c r="AO782" s="22"/>
      <c r="AP782" s="22"/>
      <c r="AQ782" s="22"/>
    </row>
    <row r="783" spans="1:43"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2"/>
      <c r="Y783" s="22"/>
      <c r="Z783" s="22"/>
      <c r="AA783" s="22"/>
      <c r="AB783" s="22"/>
      <c r="AC783" s="22"/>
      <c r="AD783" s="22"/>
      <c r="AE783" s="22"/>
      <c r="AF783" s="22"/>
      <c r="AG783" s="22"/>
      <c r="AH783" s="22"/>
      <c r="AI783" s="22"/>
      <c r="AJ783" s="22"/>
      <c r="AK783" s="22"/>
      <c r="AL783" s="22"/>
      <c r="AM783" s="22"/>
      <c r="AN783" s="22"/>
      <c r="AO783" s="22"/>
      <c r="AP783" s="22"/>
      <c r="AQ783" s="22"/>
    </row>
    <row r="784" spans="1:43"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2"/>
      <c r="Y784" s="22"/>
      <c r="Z784" s="22"/>
      <c r="AA784" s="22"/>
      <c r="AB784" s="22"/>
      <c r="AC784" s="22"/>
      <c r="AD784" s="22"/>
      <c r="AE784" s="22"/>
      <c r="AF784" s="22"/>
      <c r="AG784" s="22"/>
      <c r="AH784" s="22"/>
      <c r="AI784" s="22"/>
      <c r="AJ784" s="22"/>
      <c r="AK784" s="22"/>
      <c r="AL784" s="22"/>
      <c r="AM784" s="22"/>
      <c r="AN784" s="22"/>
      <c r="AO784" s="22"/>
      <c r="AP784" s="22"/>
      <c r="AQ784" s="22"/>
    </row>
    <row r="785" spans="1:43"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2"/>
      <c r="Y785" s="22"/>
      <c r="Z785" s="22"/>
      <c r="AA785" s="22"/>
      <c r="AB785" s="22"/>
      <c r="AC785" s="22"/>
      <c r="AD785" s="22"/>
      <c r="AE785" s="22"/>
      <c r="AF785" s="22"/>
      <c r="AG785" s="22"/>
      <c r="AH785" s="22"/>
      <c r="AI785" s="22"/>
      <c r="AJ785" s="22"/>
      <c r="AK785" s="22"/>
      <c r="AL785" s="22"/>
      <c r="AM785" s="22"/>
      <c r="AN785" s="22"/>
      <c r="AO785" s="22"/>
      <c r="AP785" s="22"/>
      <c r="AQ785" s="22"/>
    </row>
    <row r="786" spans="1:43"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2"/>
      <c r="Y786" s="22"/>
      <c r="Z786" s="22"/>
      <c r="AA786" s="22"/>
      <c r="AB786" s="22"/>
      <c r="AC786" s="22"/>
      <c r="AD786" s="22"/>
      <c r="AE786" s="22"/>
      <c r="AF786" s="22"/>
      <c r="AG786" s="22"/>
      <c r="AH786" s="22"/>
      <c r="AI786" s="22"/>
      <c r="AJ786" s="22"/>
      <c r="AK786" s="22"/>
      <c r="AL786" s="22"/>
      <c r="AM786" s="22"/>
      <c r="AN786" s="22"/>
      <c r="AO786" s="22"/>
      <c r="AP786" s="22"/>
      <c r="AQ786" s="22"/>
    </row>
    <row r="787" spans="1:43"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2"/>
      <c r="Y787" s="22"/>
      <c r="Z787" s="22"/>
      <c r="AA787" s="22"/>
      <c r="AB787" s="22"/>
      <c r="AC787" s="22"/>
      <c r="AD787" s="22"/>
      <c r="AE787" s="22"/>
      <c r="AF787" s="22"/>
      <c r="AG787" s="22"/>
      <c r="AH787" s="22"/>
      <c r="AI787" s="22"/>
      <c r="AJ787" s="22"/>
      <c r="AK787" s="22"/>
      <c r="AL787" s="22"/>
      <c r="AM787" s="22"/>
      <c r="AN787" s="22"/>
      <c r="AO787" s="22"/>
      <c r="AP787" s="22"/>
      <c r="AQ787" s="22"/>
    </row>
    <row r="788" spans="1:43"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2"/>
      <c r="Y788" s="22"/>
      <c r="Z788" s="22"/>
      <c r="AA788" s="22"/>
      <c r="AB788" s="22"/>
      <c r="AC788" s="22"/>
      <c r="AD788" s="22"/>
      <c r="AE788" s="22"/>
      <c r="AF788" s="22"/>
      <c r="AG788" s="22"/>
      <c r="AH788" s="22"/>
      <c r="AI788" s="22"/>
      <c r="AJ788" s="22"/>
      <c r="AK788" s="22"/>
      <c r="AL788" s="22"/>
      <c r="AM788" s="22"/>
      <c r="AN788" s="22"/>
      <c r="AO788" s="22"/>
      <c r="AP788" s="22"/>
      <c r="AQ788" s="22"/>
    </row>
    <row r="789" spans="1:43"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2"/>
      <c r="Y789" s="22"/>
      <c r="Z789" s="22"/>
      <c r="AA789" s="22"/>
      <c r="AB789" s="22"/>
      <c r="AC789" s="22"/>
      <c r="AD789" s="22"/>
      <c r="AE789" s="22"/>
      <c r="AF789" s="22"/>
      <c r="AG789" s="22"/>
      <c r="AH789" s="22"/>
      <c r="AI789" s="22"/>
      <c r="AJ789" s="22"/>
      <c r="AK789" s="22"/>
      <c r="AL789" s="22"/>
      <c r="AM789" s="22"/>
      <c r="AN789" s="22"/>
      <c r="AO789" s="22"/>
      <c r="AP789" s="22"/>
      <c r="AQ789" s="22"/>
    </row>
    <row r="790" spans="1:43"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2"/>
      <c r="Y790" s="22"/>
      <c r="Z790" s="22"/>
      <c r="AA790" s="22"/>
      <c r="AB790" s="22"/>
      <c r="AC790" s="22"/>
      <c r="AD790" s="22"/>
      <c r="AE790" s="22"/>
      <c r="AF790" s="22"/>
      <c r="AG790" s="22"/>
      <c r="AH790" s="22"/>
      <c r="AI790" s="22"/>
      <c r="AJ790" s="22"/>
      <c r="AK790" s="22"/>
      <c r="AL790" s="22"/>
      <c r="AM790" s="22"/>
      <c r="AN790" s="22"/>
      <c r="AO790" s="22"/>
      <c r="AP790" s="22"/>
      <c r="AQ790" s="22"/>
    </row>
    <row r="791" spans="1:43"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2"/>
      <c r="Y791" s="22"/>
      <c r="Z791" s="22"/>
      <c r="AA791" s="22"/>
      <c r="AB791" s="22"/>
      <c r="AC791" s="22"/>
      <c r="AD791" s="22"/>
      <c r="AE791" s="22"/>
      <c r="AF791" s="22"/>
      <c r="AG791" s="22"/>
      <c r="AH791" s="22"/>
      <c r="AI791" s="22"/>
      <c r="AJ791" s="22"/>
      <c r="AK791" s="22"/>
      <c r="AL791" s="22"/>
      <c r="AM791" s="22"/>
      <c r="AN791" s="22"/>
      <c r="AO791" s="22"/>
      <c r="AP791" s="22"/>
      <c r="AQ791" s="22"/>
    </row>
    <row r="792" spans="1:43"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2"/>
      <c r="Y792" s="22"/>
      <c r="Z792" s="22"/>
      <c r="AA792" s="22"/>
      <c r="AB792" s="22"/>
      <c r="AC792" s="22"/>
      <c r="AD792" s="22"/>
      <c r="AE792" s="22"/>
      <c r="AF792" s="22"/>
      <c r="AG792" s="22"/>
      <c r="AH792" s="22"/>
      <c r="AI792" s="22"/>
      <c r="AJ792" s="22"/>
      <c r="AK792" s="22"/>
      <c r="AL792" s="22"/>
      <c r="AM792" s="22"/>
      <c r="AN792" s="22"/>
      <c r="AO792" s="22"/>
      <c r="AP792" s="22"/>
      <c r="AQ792" s="22"/>
    </row>
    <row r="793" spans="1:43"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2"/>
      <c r="Y793" s="22"/>
      <c r="Z793" s="22"/>
      <c r="AA793" s="22"/>
      <c r="AB793" s="22"/>
      <c r="AC793" s="22"/>
      <c r="AD793" s="22"/>
      <c r="AE793" s="22"/>
      <c r="AF793" s="22"/>
      <c r="AG793" s="22"/>
      <c r="AH793" s="22"/>
      <c r="AI793" s="22"/>
      <c r="AJ793" s="22"/>
      <c r="AK793" s="22"/>
      <c r="AL793" s="22"/>
      <c r="AM793" s="22"/>
      <c r="AN793" s="22"/>
      <c r="AO793" s="22"/>
      <c r="AP793" s="22"/>
      <c r="AQ793" s="22"/>
    </row>
    <row r="794" spans="1:43"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2"/>
      <c r="Y794" s="22"/>
      <c r="Z794" s="22"/>
      <c r="AA794" s="22"/>
      <c r="AB794" s="22"/>
      <c r="AC794" s="22"/>
      <c r="AD794" s="22"/>
      <c r="AE794" s="22"/>
      <c r="AF794" s="22"/>
      <c r="AG794" s="22"/>
      <c r="AH794" s="22"/>
      <c r="AI794" s="22"/>
      <c r="AJ794" s="22"/>
      <c r="AK794" s="22"/>
      <c r="AL794" s="22"/>
      <c r="AM794" s="22"/>
      <c r="AN794" s="22"/>
      <c r="AO794" s="22"/>
      <c r="AP794" s="22"/>
      <c r="AQ794" s="22"/>
    </row>
    <row r="795" spans="1:43"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2"/>
      <c r="Y795" s="22"/>
      <c r="Z795" s="22"/>
      <c r="AA795" s="22"/>
      <c r="AB795" s="22"/>
      <c r="AC795" s="22"/>
      <c r="AD795" s="22"/>
      <c r="AE795" s="22"/>
      <c r="AF795" s="22"/>
      <c r="AG795" s="22"/>
      <c r="AH795" s="22"/>
      <c r="AI795" s="22"/>
      <c r="AJ795" s="22"/>
      <c r="AK795" s="22"/>
      <c r="AL795" s="22"/>
      <c r="AM795" s="22"/>
      <c r="AN795" s="22"/>
      <c r="AO795" s="22"/>
      <c r="AP795" s="22"/>
      <c r="AQ795" s="22"/>
    </row>
    <row r="796" spans="1:43"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2"/>
      <c r="Y796" s="22"/>
      <c r="Z796" s="22"/>
      <c r="AA796" s="22"/>
      <c r="AB796" s="22"/>
      <c r="AC796" s="22"/>
      <c r="AD796" s="22"/>
      <c r="AE796" s="22"/>
      <c r="AF796" s="22"/>
      <c r="AG796" s="22"/>
      <c r="AH796" s="22"/>
      <c r="AI796" s="22"/>
      <c r="AJ796" s="22"/>
      <c r="AK796" s="22"/>
      <c r="AL796" s="22"/>
      <c r="AM796" s="22"/>
      <c r="AN796" s="22"/>
      <c r="AO796" s="22"/>
      <c r="AP796" s="22"/>
      <c r="AQ796" s="22"/>
    </row>
    <row r="797" spans="1:43"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2"/>
      <c r="Y797" s="22"/>
      <c r="Z797" s="22"/>
      <c r="AA797" s="22"/>
      <c r="AB797" s="22"/>
      <c r="AC797" s="22"/>
      <c r="AD797" s="22"/>
      <c r="AE797" s="22"/>
      <c r="AF797" s="22"/>
      <c r="AG797" s="22"/>
      <c r="AH797" s="22"/>
      <c r="AI797" s="22"/>
      <c r="AJ797" s="22"/>
      <c r="AK797" s="22"/>
      <c r="AL797" s="22"/>
      <c r="AM797" s="22"/>
      <c r="AN797" s="22"/>
      <c r="AO797" s="22"/>
      <c r="AP797" s="22"/>
      <c r="AQ797" s="22"/>
    </row>
    <row r="798" spans="1:43"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2"/>
      <c r="Y798" s="22"/>
      <c r="Z798" s="22"/>
      <c r="AA798" s="22"/>
      <c r="AB798" s="22"/>
      <c r="AC798" s="22"/>
      <c r="AD798" s="22"/>
      <c r="AE798" s="22"/>
      <c r="AF798" s="22"/>
      <c r="AG798" s="22"/>
      <c r="AH798" s="22"/>
      <c r="AI798" s="22"/>
      <c r="AJ798" s="22"/>
      <c r="AK798" s="22"/>
      <c r="AL798" s="22"/>
      <c r="AM798" s="22"/>
      <c r="AN798" s="22"/>
      <c r="AO798" s="22"/>
      <c r="AP798" s="22"/>
      <c r="AQ798" s="22"/>
    </row>
    <row r="799" spans="1:43"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2"/>
      <c r="Y799" s="22"/>
      <c r="Z799" s="22"/>
      <c r="AA799" s="22"/>
      <c r="AB799" s="22"/>
      <c r="AC799" s="22"/>
      <c r="AD799" s="22"/>
      <c r="AE799" s="22"/>
      <c r="AF799" s="22"/>
      <c r="AG799" s="22"/>
      <c r="AH799" s="22"/>
      <c r="AI799" s="22"/>
      <c r="AJ799" s="22"/>
      <c r="AK799" s="22"/>
      <c r="AL799" s="22"/>
      <c r="AM799" s="22"/>
      <c r="AN799" s="22"/>
      <c r="AO799" s="22"/>
      <c r="AP799" s="22"/>
      <c r="AQ799" s="22"/>
    </row>
    <row r="800" spans="1:43"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2"/>
      <c r="Y800" s="22"/>
      <c r="Z800" s="22"/>
      <c r="AA800" s="22"/>
      <c r="AB800" s="22"/>
      <c r="AC800" s="22"/>
      <c r="AD800" s="22"/>
      <c r="AE800" s="22"/>
      <c r="AF800" s="22"/>
      <c r="AG800" s="22"/>
      <c r="AH800" s="22"/>
      <c r="AI800" s="22"/>
      <c r="AJ800" s="22"/>
      <c r="AK800" s="22"/>
      <c r="AL800" s="22"/>
      <c r="AM800" s="22"/>
      <c r="AN800" s="22"/>
      <c r="AO800" s="22"/>
      <c r="AP800" s="22"/>
      <c r="AQ800" s="22"/>
    </row>
    <row r="801" spans="1:43"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2"/>
      <c r="Y801" s="22"/>
      <c r="Z801" s="22"/>
      <c r="AA801" s="22"/>
      <c r="AB801" s="22"/>
      <c r="AC801" s="22"/>
      <c r="AD801" s="22"/>
      <c r="AE801" s="22"/>
      <c r="AF801" s="22"/>
      <c r="AG801" s="22"/>
      <c r="AH801" s="22"/>
      <c r="AI801" s="22"/>
      <c r="AJ801" s="22"/>
      <c r="AK801" s="22"/>
      <c r="AL801" s="22"/>
      <c r="AM801" s="22"/>
      <c r="AN801" s="22"/>
      <c r="AO801" s="22"/>
      <c r="AP801" s="22"/>
      <c r="AQ801" s="22"/>
    </row>
    <row r="802" spans="1:43"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2"/>
      <c r="Y802" s="22"/>
      <c r="Z802" s="22"/>
      <c r="AA802" s="22"/>
      <c r="AB802" s="22"/>
      <c r="AC802" s="22"/>
      <c r="AD802" s="22"/>
      <c r="AE802" s="22"/>
      <c r="AF802" s="22"/>
      <c r="AG802" s="22"/>
      <c r="AH802" s="22"/>
      <c r="AI802" s="22"/>
      <c r="AJ802" s="22"/>
      <c r="AK802" s="22"/>
      <c r="AL802" s="22"/>
      <c r="AM802" s="22"/>
      <c r="AN802" s="22"/>
      <c r="AO802" s="22"/>
      <c r="AP802" s="22"/>
      <c r="AQ802" s="22"/>
    </row>
    <row r="803" spans="1:43"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2"/>
      <c r="Y803" s="22"/>
      <c r="Z803" s="22"/>
      <c r="AA803" s="22"/>
      <c r="AB803" s="22"/>
      <c r="AC803" s="22"/>
      <c r="AD803" s="22"/>
      <c r="AE803" s="22"/>
      <c r="AF803" s="22"/>
      <c r="AG803" s="22"/>
      <c r="AH803" s="22"/>
      <c r="AI803" s="22"/>
      <c r="AJ803" s="22"/>
      <c r="AK803" s="22"/>
      <c r="AL803" s="22"/>
      <c r="AM803" s="22"/>
      <c r="AN803" s="22"/>
      <c r="AO803" s="22"/>
      <c r="AP803" s="22"/>
      <c r="AQ803" s="22"/>
    </row>
    <row r="804" spans="1:43"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2"/>
      <c r="Y804" s="22"/>
      <c r="Z804" s="22"/>
      <c r="AA804" s="22"/>
      <c r="AB804" s="22"/>
      <c r="AC804" s="22"/>
      <c r="AD804" s="22"/>
      <c r="AE804" s="22"/>
      <c r="AF804" s="22"/>
      <c r="AG804" s="22"/>
      <c r="AH804" s="22"/>
      <c r="AI804" s="22"/>
      <c r="AJ804" s="22"/>
      <c r="AK804" s="22"/>
      <c r="AL804" s="22"/>
      <c r="AM804" s="22"/>
      <c r="AN804" s="22"/>
      <c r="AO804" s="22"/>
      <c r="AP804" s="22"/>
      <c r="AQ804" s="22"/>
    </row>
    <row r="805" spans="1:43"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2"/>
      <c r="Y805" s="22"/>
      <c r="Z805" s="22"/>
      <c r="AA805" s="22"/>
      <c r="AB805" s="22"/>
      <c r="AC805" s="22"/>
      <c r="AD805" s="22"/>
      <c r="AE805" s="22"/>
      <c r="AF805" s="22"/>
      <c r="AG805" s="22"/>
      <c r="AH805" s="22"/>
      <c r="AI805" s="22"/>
      <c r="AJ805" s="22"/>
      <c r="AK805" s="22"/>
      <c r="AL805" s="22"/>
      <c r="AM805" s="22"/>
      <c r="AN805" s="22"/>
      <c r="AO805" s="22"/>
      <c r="AP805" s="22"/>
      <c r="AQ805" s="22"/>
    </row>
    <row r="806" spans="1:43"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2"/>
      <c r="Y806" s="22"/>
      <c r="Z806" s="22"/>
      <c r="AA806" s="22"/>
      <c r="AB806" s="22"/>
      <c r="AC806" s="22"/>
      <c r="AD806" s="22"/>
      <c r="AE806" s="22"/>
      <c r="AF806" s="22"/>
      <c r="AG806" s="22"/>
      <c r="AH806" s="22"/>
      <c r="AI806" s="22"/>
      <c r="AJ806" s="22"/>
      <c r="AK806" s="22"/>
      <c r="AL806" s="22"/>
      <c r="AM806" s="22"/>
      <c r="AN806" s="22"/>
      <c r="AO806" s="22"/>
      <c r="AP806" s="22"/>
      <c r="AQ806" s="22"/>
    </row>
    <row r="807" spans="1:43"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2"/>
      <c r="Y807" s="22"/>
      <c r="Z807" s="22"/>
      <c r="AA807" s="22"/>
      <c r="AB807" s="22"/>
      <c r="AC807" s="22"/>
      <c r="AD807" s="22"/>
      <c r="AE807" s="22"/>
      <c r="AF807" s="22"/>
      <c r="AG807" s="22"/>
      <c r="AH807" s="22"/>
      <c r="AI807" s="22"/>
      <c r="AJ807" s="22"/>
      <c r="AK807" s="22"/>
      <c r="AL807" s="22"/>
      <c r="AM807" s="22"/>
      <c r="AN807" s="22"/>
      <c r="AO807" s="22"/>
      <c r="AP807" s="22"/>
      <c r="AQ807" s="22"/>
    </row>
    <row r="808" spans="1:43"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2"/>
      <c r="Y808" s="22"/>
      <c r="Z808" s="22"/>
      <c r="AA808" s="22"/>
      <c r="AB808" s="22"/>
      <c r="AC808" s="22"/>
      <c r="AD808" s="22"/>
      <c r="AE808" s="22"/>
      <c r="AF808" s="22"/>
      <c r="AG808" s="22"/>
      <c r="AH808" s="22"/>
      <c r="AI808" s="22"/>
      <c r="AJ808" s="22"/>
      <c r="AK808" s="22"/>
      <c r="AL808" s="22"/>
      <c r="AM808" s="22"/>
      <c r="AN808" s="22"/>
      <c r="AO808" s="22"/>
      <c r="AP808" s="22"/>
      <c r="AQ808" s="22"/>
    </row>
    <row r="809" spans="1:43"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2"/>
      <c r="Y809" s="22"/>
      <c r="Z809" s="22"/>
      <c r="AA809" s="22"/>
      <c r="AB809" s="22"/>
      <c r="AC809" s="22"/>
      <c r="AD809" s="22"/>
      <c r="AE809" s="22"/>
      <c r="AF809" s="22"/>
      <c r="AG809" s="22"/>
      <c r="AH809" s="22"/>
      <c r="AI809" s="22"/>
      <c r="AJ809" s="22"/>
      <c r="AK809" s="22"/>
      <c r="AL809" s="22"/>
      <c r="AM809" s="22"/>
      <c r="AN809" s="22"/>
      <c r="AO809" s="22"/>
      <c r="AP809" s="22"/>
      <c r="AQ809" s="22"/>
    </row>
    <row r="810" spans="1:43"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2"/>
      <c r="Y810" s="22"/>
      <c r="Z810" s="22"/>
      <c r="AA810" s="22"/>
      <c r="AB810" s="22"/>
      <c r="AC810" s="22"/>
      <c r="AD810" s="22"/>
      <c r="AE810" s="22"/>
      <c r="AF810" s="22"/>
      <c r="AG810" s="22"/>
      <c r="AH810" s="22"/>
      <c r="AI810" s="22"/>
      <c r="AJ810" s="22"/>
      <c r="AK810" s="22"/>
      <c r="AL810" s="22"/>
      <c r="AM810" s="22"/>
      <c r="AN810" s="22"/>
      <c r="AO810" s="22"/>
      <c r="AP810" s="22"/>
      <c r="AQ810" s="22"/>
    </row>
    <row r="811" spans="1:43"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2"/>
      <c r="Y811" s="22"/>
      <c r="Z811" s="22"/>
      <c r="AA811" s="22"/>
      <c r="AB811" s="22"/>
      <c r="AC811" s="22"/>
      <c r="AD811" s="22"/>
      <c r="AE811" s="22"/>
      <c r="AF811" s="22"/>
      <c r="AG811" s="22"/>
      <c r="AH811" s="22"/>
      <c r="AI811" s="22"/>
      <c r="AJ811" s="22"/>
      <c r="AK811" s="22"/>
      <c r="AL811" s="22"/>
      <c r="AM811" s="22"/>
      <c r="AN811" s="22"/>
      <c r="AO811" s="22"/>
      <c r="AP811" s="22"/>
      <c r="AQ811" s="22"/>
    </row>
    <row r="812" spans="1:43"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2"/>
      <c r="Y812" s="22"/>
      <c r="Z812" s="22"/>
      <c r="AA812" s="22"/>
      <c r="AB812" s="22"/>
      <c r="AC812" s="22"/>
      <c r="AD812" s="22"/>
      <c r="AE812" s="22"/>
      <c r="AF812" s="22"/>
      <c r="AG812" s="22"/>
      <c r="AH812" s="22"/>
      <c r="AI812" s="22"/>
      <c r="AJ812" s="22"/>
      <c r="AK812" s="22"/>
      <c r="AL812" s="22"/>
      <c r="AM812" s="22"/>
      <c r="AN812" s="22"/>
      <c r="AO812" s="22"/>
      <c r="AP812" s="22"/>
      <c r="AQ812" s="22"/>
    </row>
    <row r="813" spans="1:43"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2"/>
      <c r="Y813" s="22"/>
      <c r="Z813" s="22"/>
      <c r="AA813" s="22"/>
      <c r="AB813" s="22"/>
      <c r="AC813" s="22"/>
      <c r="AD813" s="22"/>
      <c r="AE813" s="22"/>
      <c r="AF813" s="22"/>
      <c r="AG813" s="22"/>
      <c r="AH813" s="22"/>
      <c r="AI813" s="22"/>
      <c r="AJ813" s="22"/>
      <c r="AK813" s="22"/>
      <c r="AL813" s="22"/>
      <c r="AM813" s="22"/>
      <c r="AN813" s="22"/>
      <c r="AO813" s="22"/>
      <c r="AP813" s="22"/>
      <c r="AQ813" s="22"/>
    </row>
    <row r="814" spans="1:43"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2"/>
      <c r="Y814" s="22"/>
      <c r="Z814" s="22"/>
      <c r="AA814" s="22"/>
      <c r="AB814" s="22"/>
      <c r="AC814" s="22"/>
      <c r="AD814" s="22"/>
      <c r="AE814" s="22"/>
      <c r="AF814" s="22"/>
      <c r="AG814" s="22"/>
      <c r="AH814" s="22"/>
      <c r="AI814" s="22"/>
      <c r="AJ814" s="22"/>
      <c r="AK814" s="22"/>
      <c r="AL814" s="22"/>
      <c r="AM814" s="22"/>
      <c r="AN814" s="22"/>
      <c r="AO814" s="22"/>
      <c r="AP814" s="22"/>
      <c r="AQ814" s="22"/>
    </row>
    <row r="815" spans="1:43"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2"/>
      <c r="Y815" s="22"/>
      <c r="Z815" s="22"/>
      <c r="AA815" s="22"/>
      <c r="AB815" s="22"/>
      <c r="AC815" s="22"/>
      <c r="AD815" s="22"/>
      <c r="AE815" s="22"/>
      <c r="AF815" s="22"/>
      <c r="AG815" s="22"/>
      <c r="AH815" s="22"/>
      <c r="AI815" s="22"/>
      <c r="AJ815" s="22"/>
      <c r="AK815" s="22"/>
      <c r="AL815" s="22"/>
      <c r="AM815" s="22"/>
      <c r="AN815" s="22"/>
      <c r="AO815" s="22"/>
      <c r="AP815" s="22"/>
      <c r="AQ815" s="22"/>
    </row>
    <row r="816" spans="1:43"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2"/>
      <c r="Y816" s="22"/>
      <c r="Z816" s="22"/>
      <c r="AA816" s="22"/>
      <c r="AB816" s="22"/>
      <c r="AC816" s="22"/>
      <c r="AD816" s="22"/>
      <c r="AE816" s="22"/>
      <c r="AF816" s="22"/>
      <c r="AG816" s="22"/>
      <c r="AH816" s="22"/>
      <c r="AI816" s="22"/>
      <c r="AJ816" s="22"/>
      <c r="AK816" s="22"/>
      <c r="AL816" s="22"/>
      <c r="AM816" s="22"/>
      <c r="AN816" s="22"/>
      <c r="AO816" s="22"/>
      <c r="AP816" s="22"/>
      <c r="AQ816" s="22"/>
    </row>
    <row r="817" spans="1:43"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2"/>
      <c r="Y817" s="22"/>
      <c r="Z817" s="22"/>
      <c r="AA817" s="22"/>
      <c r="AB817" s="22"/>
      <c r="AC817" s="22"/>
      <c r="AD817" s="22"/>
      <c r="AE817" s="22"/>
      <c r="AF817" s="22"/>
      <c r="AG817" s="22"/>
      <c r="AH817" s="22"/>
      <c r="AI817" s="22"/>
      <c r="AJ817" s="22"/>
      <c r="AK817" s="22"/>
      <c r="AL817" s="22"/>
      <c r="AM817" s="22"/>
      <c r="AN817" s="22"/>
      <c r="AO817" s="22"/>
      <c r="AP817" s="22"/>
      <c r="AQ817" s="22"/>
    </row>
    <row r="818" spans="1:43"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2"/>
      <c r="Y818" s="22"/>
      <c r="Z818" s="22"/>
      <c r="AA818" s="22"/>
      <c r="AB818" s="22"/>
      <c r="AC818" s="22"/>
      <c r="AD818" s="22"/>
      <c r="AE818" s="22"/>
      <c r="AF818" s="22"/>
      <c r="AG818" s="22"/>
      <c r="AH818" s="22"/>
      <c r="AI818" s="22"/>
      <c r="AJ818" s="22"/>
      <c r="AK818" s="22"/>
      <c r="AL818" s="22"/>
      <c r="AM818" s="22"/>
      <c r="AN818" s="22"/>
      <c r="AO818" s="22"/>
      <c r="AP818" s="22"/>
      <c r="AQ818" s="22"/>
    </row>
    <row r="819" spans="1:43"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2"/>
      <c r="Y819" s="22"/>
      <c r="Z819" s="22"/>
      <c r="AA819" s="22"/>
      <c r="AB819" s="22"/>
      <c r="AC819" s="22"/>
      <c r="AD819" s="22"/>
      <c r="AE819" s="22"/>
      <c r="AF819" s="22"/>
      <c r="AG819" s="22"/>
      <c r="AH819" s="22"/>
      <c r="AI819" s="22"/>
      <c r="AJ819" s="22"/>
      <c r="AK819" s="22"/>
      <c r="AL819" s="22"/>
      <c r="AM819" s="22"/>
      <c r="AN819" s="22"/>
      <c r="AO819" s="22"/>
      <c r="AP819" s="22"/>
      <c r="AQ819" s="22"/>
    </row>
    <row r="820" spans="1:43"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2"/>
      <c r="Y820" s="22"/>
      <c r="Z820" s="22"/>
      <c r="AA820" s="22"/>
      <c r="AB820" s="22"/>
      <c r="AC820" s="22"/>
      <c r="AD820" s="22"/>
      <c r="AE820" s="22"/>
      <c r="AF820" s="22"/>
      <c r="AG820" s="22"/>
      <c r="AH820" s="22"/>
      <c r="AI820" s="22"/>
      <c r="AJ820" s="22"/>
      <c r="AK820" s="22"/>
      <c r="AL820" s="22"/>
      <c r="AM820" s="22"/>
      <c r="AN820" s="22"/>
      <c r="AO820" s="22"/>
      <c r="AP820" s="22"/>
      <c r="AQ820" s="22"/>
    </row>
    <row r="821" spans="1:43"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2"/>
      <c r="Y821" s="22"/>
      <c r="Z821" s="22"/>
      <c r="AA821" s="22"/>
      <c r="AB821" s="22"/>
      <c r="AC821" s="22"/>
      <c r="AD821" s="22"/>
      <c r="AE821" s="22"/>
      <c r="AF821" s="22"/>
      <c r="AG821" s="22"/>
      <c r="AH821" s="22"/>
      <c r="AI821" s="22"/>
      <c r="AJ821" s="22"/>
      <c r="AK821" s="22"/>
      <c r="AL821" s="22"/>
      <c r="AM821" s="22"/>
      <c r="AN821" s="22"/>
      <c r="AO821" s="22"/>
      <c r="AP821" s="22"/>
      <c r="AQ821" s="22"/>
    </row>
    <row r="822" spans="1:43"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2"/>
      <c r="Y822" s="22"/>
      <c r="Z822" s="22"/>
      <c r="AA822" s="22"/>
      <c r="AB822" s="22"/>
      <c r="AC822" s="22"/>
      <c r="AD822" s="22"/>
      <c r="AE822" s="22"/>
      <c r="AF822" s="22"/>
      <c r="AG822" s="22"/>
      <c r="AH822" s="22"/>
      <c r="AI822" s="22"/>
      <c r="AJ822" s="22"/>
      <c r="AK822" s="22"/>
      <c r="AL822" s="22"/>
      <c r="AM822" s="22"/>
      <c r="AN822" s="22"/>
      <c r="AO822" s="22"/>
      <c r="AP822" s="22"/>
      <c r="AQ822" s="22"/>
    </row>
    <row r="823" spans="1:43"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2"/>
      <c r="Y823" s="22"/>
      <c r="Z823" s="22"/>
      <c r="AA823" s="22"/>
      <c r="AB823" s="22"/>
      <c r="AC823" s="22"/>
      <c r="AD823" s="22"/>
      <c r="AE823" s="22"/>
      <c r="AF823" s="22"/>
      <c r="AG823" s="22"/>
      <c r="AH823" s="22"/>
      <c r="AI823" s="22"/>
      <c r="AJ823" s="22"/>
      <c r="AK823" s="22"/>
      <c r="AL823" s="22"/>
      <c r="AM823" s="22"/>
      <c r="AN823" s="22"/>
      <c r="AO823" s="22"/>
      <c r="AP823" s="22"/>
      <c r="AQ823" s="22"/>
    </row>
    <row r="824" spans="1:43"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2"/>
      <c r="Y824" s="22"/>
      <c r="Z824" s="22"/>
      <c r="AA824" s="22"/>
      <c r="AB824" s="22"/>
      <c r="AC824" s="22"/>
      <c r="AD824" s="22"/>
      <c r="AE824" s="22"/>
      <c r="AF824" s="22"/>
      <c r="AG824" s="22"/>
      <c r="AH824" s="22"/>
      <c r="AI824" s="22"/>
      <c r="AJ824" s="22"/>
      <c r="AK824" s="22"/>
      <c r="AL824" s="22"/>
      <c r="AM824" s="22"/>
      <c r="AN824" s="22"/>
      <c r="AO824" s="22"/>
      <c r="AP824" s="22"/>
      <c r="AQ824" s="22"/>
    </row>
    <row r="825" spans="1:43"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2"/>
      <c r="Y825" s="22"/>
      <c r="Z825" s="22"/>
      <c r="AA825" s="22"/>
      <c r="AB825" s="22"/>
      <c r="AC825" s="22"/>
      <c r="AD825" s="22"/>
      <c r="AE825" s="22"/>
      <c r="AF825" s="22"/>
      <c r="AG825" s="22"/>
      <c r="AH825" s="22"/>
      <c r="AI825" s="22"/>
      <c r="AJ825" s="22"/>
      <c r="AK825" s="22"/>
      <c r="AL825" s="22"/>
      <c r="AM825" s="22"/>
      <c r="AN825" s="22"/>
      <c r="AO825" s="22"/>
      <c r="AP825" s="22"/>
      <c r="AQ825" s="22"/>
    </row>
    <row r="826" spans="1:43"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2"/>
      <c r="Y826" s="22"/>
      <c r="Z826" s="22"/>
      <c r="AA826" s="22"/>
      <c r="AB826" s="22"/>
      <c r="AC826" s="22"/>
      <c r="AD826" s="22"/>
      <c r="AE826" s="22"/>
      <c r="AF826" s="22"/>
      <c r="AG826" s="22"/>
      <c r="AH826" s="22"/>
      <c r="AI826" s="22"/>
      <c r="AJ826" s="22"/>
      <c r="AK826" s="22"/>
      <c r="AL826" s="22"/>
      <c r="AM826" s="22"/>
      <c r="AN826" s="22"/>
      <c r="AO826" s="22"/>
      <c r="AP826" s="22"/>
      <c r="AQ826" s="22"/>
    </row>
    <row r="827" spans="1:43"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2"/>
      <c r="Y827" s="22"/>
      <c r="Z827" s="22"/>
      <c r="AA827" s="22"/>
      <c r="AB827" s="22"/>
      <c r="AC827" s="22"/>
      <c r="AD827" s="22"/>
      <c r="AE827" s="22"/>
      <c r="AF827" s="22"/>
      <c r="AG827" s="22"/>
      <c r="AH827" s="22"/>
      <c r="AI827" s="22"/>
      <c r="AJ827" s="22"/>
      <c r="AK827" s="22"/>
      <c r="AL827" s="22"/>
      <c r="AM827" s="22"/>
      <c r="AN827" s="22"/>
      <c r="AO827" s="22"/>
      <c r="AP827" s="22"/>
      <c r="AQ827" s="22"/>
    </row>
    <row r="828" spans="1:43"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2"/>
      <c r="Y828" s="22"/>
      <c r="Z828" s="22"/>
      <c r="AA828" s="22"/>
      <c r="AB828" s="22"/>
      <c r="AC828" s="22"/>
      <c r="AD828" s="22"/>
      <c r="AE828" s="22"/>
      <c r="AF828" s="22"/>
      <c r="AG828" s="22"/>
      <c r="AH828" s="22"/>
      <c r="AI828" s="22"/>
      <c r="AJ828" s="22"/>
      <c r="AK828" s="22"/>
      <c r="AL828" s="22"/>
      <c r="AM828" s="22"/>
      <c r="AN828" s="22"/>
      <c r="AO828" s="22"/>
      <c r="AP828" s="22"/>
      <c r="AQ828" s="22"/>
    </row>
    <row r="829" spans="1:43"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2"/>
      <c r="Y829" s="22"/>
      <c r="Z829" s="22"/>
      <c r="AA829" s="22"/>
      <c r="AB829" s="22"/>
      <c r="AC829" s="22"/>
      <c r="AD829" s="22"/>
      <c r="AE829" s="22"/>
      <c r="AF829" s="22"/>
      <c r="AG829" s="22"/>
      <c r="AH829" s="22"/>
      <c r="AI829" s="22"/>
      <c r="AJ829" s="22"/>
      <c r="AK829" s="22"/>
      <c r="AL829" s="22"/>
      <c r="AM829" s="22"/>
      <c r="AN829" s="22"/>
      <c r="AO829" s="22"/>
      <c r="AP829" s="22"/>
      <c r="AQ829" s="22"/>
    </row>
    <row r="830" spans="1:43"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2"/>
      <c r="Y830" s="22"/>
      <c r="Z830" s="22"/>
      <c r="AA830" s="22"/>
      <c r="AB830" s="22"/>
      <c r="AC830" s="22"/>
      <c r="AD830" s="22"/>
      <c r="AE830" s="22"/>
      <c r="AF830" s="22"/>
      <c r="AG830" s="22"/>
      <c r="AH830" s="22"/>
      <c r="AI830" s="22"/>
      <c r="AJ830" s="22"/>
      <c r="AK830" s="22"/>
      <c r="AL830" s="22"/>
      <c r="AM830" s="22"/>
      <c r="AN830" s="22"/>
      <c r="AO830" s="22"/>
      <c r="AP830" s="22"/>
      <c r="AQ830" s="22"/>
    </row>
    <row r="831" spans="1:43"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2"/>
      <c r="Y831" s="22"/>
      <c r="Z831" s="22"/>
      <c r="AA831" s="22"/>
      <c r="AB831" s="22"/>
      <c r="AC831" s="22"/>
      <c r="AD831" s="22"/>
      <c r="AE831" s="22"/>
      <c r="AF831" s="22"/>
      <c r="AG831" s="22"/>
      <c r="AH831" s="22"/>
      <c r="AI831" s="22"/>
      <c r="AJ831" s="22"/>
      <c r="AK831" s="22"/>
      <c r="AL831" s="22"/>
      <c r="AM831" s="22"/>
      <c r="AN831" s="22"/>
      <c r="AO831" s="22"/>
      <c r="AP831" s="22"/>
      <c r="AQ831" s="22"/>
    </row>
    <row r="832" spans="1:43"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2"/>
      <c r="Y832" s="22"/>
      <c r="Z832" s="22"/>
      <c r="AA832" s="22"/>
      <c r="AB832" s="22"/>
      <c r="AC832" s="22"/>
      <c r="AD832" s="22"/>
      <c r="AE832" s="22"/>
      <c r="AF832" s="22"/>
      <c r="AG832" s="22"/>
      <c r="AH832" s="22"/>
      <c r="AI832" s="22"/>
      <c r="AJ832" s="22"/>
      <c r="AK832" s="22"/>
      <c r="AL832" s="22"/>
      <c r="AM832" s="22"/>
      <c r="AN832" s="22"/>
      <c r="AO832" s="22"/>
      <c r="AP832" s="22"/>
      <c r="AQ832" s="22"/>
    </row>
    <row r="833" spans="1:43"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2"/>
      <c r="Y833" s="22"/>
      <c r="Z833" s="22"/>
      <c r="AA833" s="22"/>
      <c r="AB833" s="22"/>
      <c r="AC833" s="22"/>
      <c r="AD833" s="22"/>
      <c r="AE833" s="22"/>
      <c r="AF833" s="22"/>
      <c r="AG833" s="22"/>
      <c r="AH833" s="22"/>
      <c r="AI833" s="22"/>
      <c r="AJ833" s="22"/>
      <c r="AK833" s="22"/>
      <c r="AL833" s="22"/>
      <c r="AM833" s="22"/>
      <c r="AN833" s="22"/>
      <c r="AO833" s="22"/>
      <c r="AP833" s="22"/>
      <c r="AQ833" s="22"/>
    </row>
    <row r="834" spans="1:43"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2"/>
      <c r="Y834" s="22"/>
      <c r="Z834" s="22"/>
      <c r="AA834" s="22"/>
      <c r="AB834" s="22"/>
      <c r="AC834" s="22"/>
      <c r="AD834" s="22"/>
      <c r="AE834" s="22"/>
      <c r="AF834" s="22"/>
      <c r="AG834" s="22"/>
      <c r="AH834" s="22"/>
      <c r="AI834" s="22"/>
      <c r="AJ834" s="22"/>
      <c r="AK834" s="22"/>
      <c r="AL834" s="22"/>
      <c r="AM834" s="22"/>
      <c r="AN834" s="22"/>
      <c r="AO834" s="22"/>
      <c r="AP834" s="22"/>
      <c r="AQ834" s="22"/>
    </row>
    <row r="835" spans="1:43"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2"/>
      <c r="Y835" s="22"/>
      <c r="Z835" s="22"/>
      <c r="AA835" s="22"/>
      <c r="AB835" s="22"/>
      <c r="AC835" s="22"/>
      <c r="AD835" s="22"/>
      <c r="AE835" s="22"/>
      <c r="AF835" s="22"/>
      <c r="AG835" s="22"/>
      <c r="AH835" s="22"/>
      <c r="AI835" s="22"/>
      <c r="AJ835" s="22"/>
      <c r="AK835" s="22"/>
      <c r="AL835" s="22"/>
      <c r="AM835" s="22"/>
      <c r="AN835" s="22"/>
      <c r="AO835" s="22"/>
      <c r="AP835" s="22"/>
      <c r="AQ835" s="22"/>
    </row>
    <row r="836" spans="1:43"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2"/>
      <c r="Y836" s="22"/>
      <c r="Z836" s="22"/>
      <c r="AA836" s="22"/>
      <c r="AB836" s="22"/>
      <c r="AC836" s="22"/>
      <c r="AD836" s="22"/>
      <c r="AE836" s="22"/>
      <c r="AF836" s="22"/>
      <c r="AG836" s="22"/>
      <c r="AH836" s="22"/>
      <c r="AI836" s="22"/>
      <c r="AJ836" s="22"/>
      <c r="AK836" s="22"/>
      <c r="AL836" s="22"/>
      <c r="AM836" s="22"/>
      <c r="AN836" s="22"/>
      <c r="AO836" s="22"/>
      <c r="AP836" s="22"/>
      <c r="AQ836" s="22"/>
    </row>
    <row r="837" spans="1:43"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2"/>
      <c r="Y837" s="22"/>
      <c r="Z837" s="22"/>
      <c r="AA837" s="22"/>
      <c r="AB837" s="22"/>
      <c r="AC837" s="22"/>
      <c r="AD837" s="22"/>
      <c r="AE837" s="22"/>
      <c r="AF837" s="22"/>
      <c r="AG837" s="22"/>
      <c r="AH837" s="22"/>
      <c r="AI837" s="22"/>
      <c r="AJ837" s="22"/>
      <c r="AK837" s="22"/>
      <c r="AL837" s="22"/>
      <c r="AM837" s="22"/>
      <c r="AN837" s="22"/>
      <c r="AO837" s="22"/>
      <c r="AP837" s="22"/>
      <c r="AQ837" s="22"/>
    </row>
    <row r="838" spans="1:43"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2"/>
      <c r="Y838" s="22"/>
      <c r="Z838" s="22"/>
      <c r="AA838" s="22"/>
      <c r="AB838" s="22"/>
      <c r="AC838" s="22"/>
      <c r="AD838" s="22"/>
      <c r="AE838" s="22"/>
      <c r="AF838" s="22"/>
      <c r="AG838" s="22"/>
      <c r="AH838" s="22"/>
      <c r="AI838" s="22"/>
      <c r="AJ838" s="22"/>
      <c r="AK838" s="22"/>
      <c r="AL838" s="22"/>
      <c r="AM838" s="22"/>
      <c r="AN838" s="22"/>
      <c r="AO838" s="22"/>
      <c r="AP838" s="22"/>
      <c r="AQ838" s="22"/>
    </row>
    <row r="839" spans="1:43"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2"/>
      <c r="Y839" s="22"/>
      <c r="Z839" s="22"/>
      <c r="AA839" s="22"/>
      <c r="AB839" s="22"/>
      <c r="AC839" s="22"/>
      <c r="AD839" s="22"/>
      <c r="AE839" s="22"/>
      <c r="AF839" s="22"/>
      <c r="AG839" s="22"/>
      <c r="AH839" s="22"/>
      <c r="AI839" s="22"/>
      <c r="AJ839" s="22"/>
      <c r="AK839" s="22"/>
      <c r="AL839" s="22"/>
      <c r="AM839" s="22"/>
      <c r="AN839" s="22"/>
      <c r="AO839" s="22"/>
      <c r="AP839" s="22"/>
      <c r="AQ839" s="22"/>
    </row>
    <row r="840" spans="1:43"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2"/>
      <c r="Y840" s="22"/>
      <c r="Z840" s="22"/>
      <c r="AA840" s="22"/>
      <c r="AB840" s="22"/>
      <c r="AC840" s="22"/>
      <c r="AD840" s="22"/>
      <c r="AE840" s="22"/>
      <c r="AF840" s="22"/>
      <c r="AG840" s="22"/>
      <c r="AH840" s="22"/>
      <c r="AI840" s="22"/>
      <c r="AJ840" s="22"/>
      <c r="AK840" s="22"/>
      <c r="AL840" s="22"/>
      <c r="AM840" s="22"/>
      <c r="AN840" s="22"/>
      <c r="AO840" s="22"/>
      <c r="AP840" s="22"/>
      <c r="AQ840" s="22"/>
    </row>
    <row r="841" spans="1:43"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2"/>
      <c r="Y841" s="22"/>
      <c r="Z841" s="22"/>
      <c r="AA841" s="22"/>
      <c r="AB841" s="22"/>
      <c r="AC841" s="22"/>
      <c r="AD841" s="22"/>
      <c r="AE841" s="22"/>
      <c r="AF841" s="22"/>
      <c r="AG841" s="22"/>
      <c r="AH841" s="22"/>
      <c r="AI841" s="22"/>
      <c r="AJ841" s="22"/>
      <c r="AK841" s="22"/>
      <c r="AL841" s="22"/>
      <c r="AM841" s="22"/>
      <c r="AN841" s="22"/>
      <c r="AO841" s="22"/>
      <c r="AP841" s="22"/>
      <c r="AQ841" s="22"/>
    </row>
    <row r="842" spans="1:43"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2"/>
      <c r="Y842" s="22"/>
      <c r="Z842" s="22"/>
      <c r="AA842" s="22"/>
      <c r="AB842" s="22"/>
      <c r="AC842" s="22"/>
      <c r="AD842" s="22"/>
      <c r="AE842" s="22"/>
      <c r="AF842" s="22"/>
      <c r="AG842" s="22"/>
      <c r="AH842" s="22"/>
      <c r="AI842" s="22"/>
      <c r="AJ842" s="22"/>
      <c r="AK842" s="22"/>
      <c r="AL842" s="22"/>
      <c r="AM842" s="22"/>
      <c r="AN842" s="22"/>
      <c r="AO842" s="22"/>
      <c r="AP842" s="22"/>
      <c r="AQ842" s="22"/>
    </row>
    <row r="843" spans="1:43"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2"/>
      <c r="Y843" s="22"/>
      <c r="Z843" s="22"/>
      <c r="AA843" s="22"/>
      <c r="AB843" s="22"/>
      <c r="AC843" s="22"/>
      <c r="AD843" s="22"/>
      <c r="AE843" s="22"/>
      <c r="AF843" s="22"/>
      <c r="AG843" s="22"/>
      <c r="AH843" s="22"/>
      <c r="AI843" s="22"/>
      <c r="AJ843" s="22"/>
      <c r="AK843" s="22"/>
      <c r="AL843" s="22"/>
      <c r="AM843" s="22"/>
      <c r="AN843" s="22"/>
      <c r="AO843" s="22"/>
      <c r="AP843" s="22"/>
      <c r="AQ843" s="22"/>
    </row>
    <row r="844" spans="1:43"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2"/>
      <c r="Y844" s="22"/>
      <c r="Z844" s="22"/>
      <c r="AA844" s="22"/>
      <c r="AB844" s="22"/>
      <c r="AC844" s="22"/>
      <c r="AD844" s="22"/>
      <c r="AE844" s="22"/>
      <c r="AF844" s="22"/>
      <c r="AG844" s="22"/>
      <c r="AH844" s="22"/>
      <c r="AI844" s="22"/>
      <c r="AJ844" s="22"/>
      <c r="AK844" s="22"/>
      <c r="AL844" s="22"/>
      <c r="AM844" s="22"/>
      <c r="AN844" s="22"/>
      <c r="AO844" s="22"/>
      <c r="AP844" s="22"/>
      <c r="AQ844" s="22"/>
    </row>
    <row r="845" spans="1:43"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2"/>
      <c r="Y845" s="22"/>
      <c r="Z845" s="22"/>
      <c r="AA845" s="22"/>
      <c r="AB845" s="22"/>
      <c r="AC845" s="22"/>
      <c r="AD845" s="22"/>
      <c r="AE845" s="22"/>
      <c r="AF845" s="22"/>
      <c r="AG845" s="22"/>
      <c r="AH845" s="22"/>
      <c r="AI845" s="22"/>
      <c r="AJ845" s="22"/>
      <c r="AK845" s="22"/>
      <c r="AL845" s="22"/>
      <c r="AM845" s="22"/>
      <c r="AN845" s="22"/>
      <c r="AO845" s="22"/>
      <c r="AP845" s="22"/>
      <c r="AQ845" s="22"/>
    </row>
    <row r="846" spans="1:43"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2"/>
      <c r="Y846" s="22"/>
      <c r="Z846" s="22"/>
      <c r="AA846" s="22"/>
      <c r="AB846" s="22"/>
      <c r="AC846" s="22"/>
      <c r="AD846" s="22"/>
      <c r="AE846" s="22"/>
      <c r="AF846" s="22"/>
      <c r="AG846" s="22"/>
      <c r="AH846" s="22"/>
      <c r="AI846" s="22"/>
      <c r="AJ846" s="22"/>
      <c r="AK846" s="22"/>
      <c r="AL846" s="22"/>
      <c r="AM846" s="22"/>
      <c r="AN846" s="22"/>
      <c r="AO846" s="22"/>
      <c r="AP846" s="22"/>
      <c r="AQ846" s="22"/>
    </row>
    <row r="847" spans="1:43"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2"/>
      <c r="Y847" s="22"/>
      <c r="Z847" s="22"/>
      <c r="AA847" s="22"/>
      <c r="AB847" s="22"/>
      <c r="AC847" s="22"/>
      <c r="AD847" s="22"/>
      <c r="AE847" s="22"/>
      <c r="AF847" s="22"/>
      <c r="AG847" s="22"/>
      <c r="AH847" s="22"/>
      <c r="AI847" s="22"/>
      <c r="AJ847" s="22"/>
      <c r="AK847" s="22"/>
      <c r="AL847" s="22"/>
      <c r="AM847" s="22"/>
      <c r="AN847" s="22"/>
      <c r="AO847" s="22"/>
      <c r="AP847" s="22"/>
      <c r="AQ847" s="22"/>
    </row>
    <row r="848" spans="1:43"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2"/>
      <c r="Y848" s="22"/>
      <c r="Z848" s="22"/>
      <c r="AA848" s="22"/>
      <c r="AB848" s="22"/>
      <c r="AC848" s="22"/>
      <c r="AD848" s="22"/>
      <c r="AE848" s="22"/>
      <c r="AF848" s="22"/>
      <c r="AG848" s="22"/>
      <c r="AH848" s="22"/>
      <c r="AI848" s="22"/>
      <c r="AJ848" s="22"/>
      <c r="AK848" s="22"/>
      <c r="AL848" s="22"/>
      <c r="AM848" s="22"/>
      <c r="AN848" s="22"/>
      <c r="AO848" s="22"/>
      <c r="AP848" s="22"/>
      <c r="AQ848" s="22"/>
    </row>
    <row r="849" spans="1:43"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2"/>
      <c r="Y849" s="22"/>
      <c r="Z849" s="22"/>
      <c r="AA849" s="22"/>
      <c r="AB849" s="22"/>
      <c r="AC849" s="22"/>
      <c r="AD849" s="22"/>
      <c r="AE849" s="22"/>
      <c r="AF849" s="22"/>
      <c r="AG849" s="22"/>
      <c r="AH849" s="22"/>
      <c r="AI849" s="22"/>
      <c r="AJ849" s="22"/>
      <c r="AK849" s="22"/>
      <c r="AL849" s="22"/>
      <c r="AM849" s="22"/>
      <c r="AN849" s="22"/>
      <c r="AO849" s="22"/>
      <c r="AP849" s="22"/>
      <c r="AQ849" s="22"/>
    </row>
    <row r="850" spans="1:43"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2"/>
      <c r="Y850" s="22"/>
      <c r="Z850" s="22"/>
      <c r="AA850" s="22"/>
      <c r="AB850" s="22"/>
      <c r="AC850" s="22"/>
      <c r="AD850" s="22"/>
      <c r="AE850" s="22"/>
      <c r="AF850" s="22"/>
      <c r="AG850" s="22"/>
      <c r="AH850" s="22"/>
      <c r="AI850" s="22"/>
      <c r="AJ850" s="22"/>
      <c r="AK850" s="22"/>
      <c r="AL850" s="22"/>
      <c r="AM850" s="22"/>
      <c r="AN850" s="22"/>
      <c r="AO850" s="22"/>
      <c r="AP850" s="22"/>
      <c r="AQ850" s="22"/>
    </row>
    <row r="851" spans="1:43"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2"/>
      <c r="Y851" s="22"/>
      <c r="Z851" s="22"/>
      <c r="AA851" s="22"/>
      <c r="AB851" s="22"/>
      <c r="AC851" s="22"/>
      <c r="AD851" s="22"/>
      <c r="AE851" s="22"/>
      <c r="AF851" s="22"/>
      <c r="AG851" s="22"/>
      <c r="AH851" s="22"/>
      <c r="AI851" s="22"/>
      <c r="AJ851" s="22"/>
      <c r="AK851" s="22"/>
      <c r="AL851" s="22"/>
      <c r="AM851" s="22"/>
      <c r="AN851" s="22"/>
      <c r="AO851" s="22"/>
      <c r="AP851" s="22"/>
      <c r="AQ851" s="22"/>
    </row>
    <row r="852" spans="1:43"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2"/>
      <c r="Y852" s="22"/>
      <c r="Z852" s="22"/>
      <c r="AA852" s="22"/>
      <c r="AB852" s="22"/>
      <c r="AC852" s="22"/>
      <c r="AD852" s="22"/>
      <c r="AE852" s="22"/>
      <c r="AF852" s="22"/>
      <c r="AG852" s="22"/>
      <c r="AH852" s="22"/>
      <c r="AI852" s="22"/>
      <c r="AJ852" s="22"/>
      <c r="AK852" s="22"/>
      <c r="AL852" s="22"/>
      <c r="AM852" s="22"/>
      <c r="AN852" s="22"/>
      <c r="AO852" s="22"/>
      <c r="AP852" s="22"/>
      <c r="AQ852" s="22"/>
    </row>
    <row r="853" spans="1:43"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2"/>
      <c r="Y853" s="22"/>
      <c r="Z853" s="22"/>
      <c r="AA853" s="22"/>
      <c r="AB853" s="22"/>
      <c r="AC853" s="22"/>
      <c r="AD853" s="22"/>
      <c r="AE853" s="22"/>
      <c r="AF853" s="22"/>
      <c r="AG853" s="22"/>
      <c r="AH853" s="22"/>
      <c r="AI853" s="22"/>
      <c r="AJ853" s="22"/>
      <c r="AK853" s="22"/>
      <c r="AL853" s="22"/>
      <c r="AM853" s="22"/>
      <c r="AN853" s="22"/>
      <c r="AO853" s="22"/>
      <c r="AP853" s="22"/>
      <c r="AQ853" s="22"/>
    </row>
    <row r="854" spans="1:43"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2"/>
      <c r="Y854" s="22"/>
      <c r="Z854" s="22"/>
      <c r="AA854" s="22"/>
      <c r="AB854" s="22"/>
      <c r="AC854" s="22"/>
      <c r="AD854" s="22"/>
      <c r="AE854" s="22"/>
      <c r="AF854" s="22"/>
      <c r="AG854" s="22"/>
      <c r="AH854" s="22"/>
      <c r="AI854" s="22"/>
      <c r="AJ854" s="22"/>
      <c r="AK854" s="22"/>
      <c r="AL854" s="22"/>
      <c r="AM854" s="22"/>
      <c r="AN854" s="22"/>
      <c r="AO854" s="22"/>
      <c r="AP854" s="22"/>
      <c r="AQ854" s="22"/>
    </row>
    <row r="855" spans="1:43"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2"/>
      <c r="Y855" s="22"/>
      <c r="Z855" s="22"/>
      <c r="AA855" s="22"/>
      <c r="AB855" s="22"/>
      <c r="AC855" s="22"/>
      <c r="AD855" s="22"/>
      <c r="AE855" s="22"/>
      <c r="AF855" s="22"/>
      <c r="AG855" s="22"/>
      <c r="AH855" s="22"/>
      <c r="AI855" s="22"/>
      <c r="AJ855" s="22"/>
      <c r="AK855" s="22"/>
      <c r="AL855" s="22"/>
      <c r="AM855" s="22"/>
      <c r="AN855" s="22"/>
      <c r="AO855" s="22"/>
      <c r="AP855" s="22"/>
      <c r="AQ855" s="22"/>
    </row>
    <row r="856" spans="1:43"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2"/>
      <c r="Y856" s="22"/>
      <c r="Z856" s="22"/>
      <c r="AA856" s="22"/>
      <c r="AB856" s="22"/>
      <c r="AC856" s="22"/>
      <c r="AD856" s="22"/>
      <c r="AE856" s="22"/>
      <c r="AF856" s="22"/>
      <c r="AG856" s="22"/>
      <c r="AH856" s="22"/>
      <c r="AI856" s="22"/>
      <c r="AJ856" s="22"/>
      <c r="AK856" s="22"/>
      <c r="AL856" s="22"/>
      <c r="AM856" s="22"/>
      <c r="AN856" s="22"/>
      <c r="AO856" s="22"/>
      <c r="AP856" s="22"/>
      <c r="AQ856" s="22"/>
    </row>
    <row r="857" spans="1:43"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2"/>
      <c r="Y857" s="22"/>
      <c r="Z857" s="22"/>
      <c r="AA857" s="22"/>
      <c r="AB857" s="22"/>
      <c r="AC857" s="22"/>
      <c r="AD857" s="22"/>
      <c r="AE857" s="22"/>
      <c r="AF857" s="22"/>
      <c r="AG857" s="22"/>
      <c r="AH857" s="22"/>
      <c r="AI857" s="22"/>
      <c r="AJ857" s="22"/>
      <c r="AK857" s="22"/>
      <c r="AL857" s="22"/>
      <c r="AM857" s="22"/>
      <c r="AN857" s="22"/>
      <c r="AO857" s="22"/>
      <c r="AP857" s="22"/>
      <c r="AQ857" s="22"/>
    </row>
    <row r="858" spans="1:43"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2"/>
      <c r="Y858" s="22"/>
      <c r="Z858" s="22"/>
      <c r="AA858" s="22"/>
      <c r="AB858" s="22"/>
      <c r="AC858" s="22"/>
      <c r="AD858" s="22"/>
      <c r="AE858" s="22"/>
      <c r="AF858" s="22"/>
      <c r="AG858" s="22"/>
      <c r="AH858" s="22"/>
      <c r="AI858" s="22"/>
      <c r="AJ858" s="22"/>
      <c r="AK858" s="22"/>
      <c r="AL858" s="22"/>
      <c r="AM858" s="22"/>
      <c r="AN858" s="22"/>
      <c r="AO858" s="22"/>
      <c r="AP858" s="22"/>
      <c r="AQ858" s="22"/>
    </row>
    <row r="859" spans="1:43"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2"/>
      <c r="Y859" s="22"/>
      <c r="Z859" s="22"/>
      <c r="AA859" s="22"/>
      <c r="AB859" s="22"/>
      <c r="AC859" s="22"/>
      <c r="AD859" s="22"/>
      <c r="AE859" s="22"/>
      <c r="AF859" s="22"/>
      <c r="AG859" s="22"/>
      <c r="AH859" s="22"/>
      <c r="AI859" s="22"/>
      <c r="AJ859" s="22"/>
      <c r="AK859" s="22"/>
      <c r="AL859" s="22"/>
      <c r="AM859" s="22"/>
      <c r="AN859" s="22"/>
      <c r="AO859" s="22"/>
      <c r="AP859" s="22"/>
      <c r="AQ859" s="22"/>
    </row>
    <row r="860" spans="1:43"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2"/>
      <c r="Y860" s="22"/>
      <c r="Z860" s="22"/>
      <c r="AA860" s="22"/>
      <c r="AB860" s="22"/>
      <c r="AC860" s="22"/>
      <c r="AD860" s="22"/>
      <c r="AE860" s="22"/>
      <c r="AF860" s="22"/>
      <c r="AG860" s="22"/>
      <c r="AH860" s="22"/>
      <c r="AI860" s="22"/>
      <c r="AJ860" s="22"/>
      <c r="AK860" s="22"/>
      <c r="AL860" s="22"/>
      <c r="AM860" s="22"/>
      <c r="AN860" s="22"/>
      <c r="AO860" s="22"/>
      <c r="AP860" s="22"/>
      <c r="AQ860" s="22"/>
    </row>
    <row r="861" spans="1:43"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2"/>
      <c r="Y861" s="22"/>
      <c r="Z861" s="22"/>
      <c r="AA861" s="22"/>
      <c r="AB861" s="22"/>
      <c r="AC861" s="22"/>
      <c r="AD861" s="22"/>
      <c r="AE861" s="22"/>
      <c r="AF861" s="22"/>
      <c r="AG861" s="22"/>
      <c r="AH861" s="22"/>
      <c r="AI861" s="22"/>
      <c r="AJ861" s="22"/>
      <c r="AK861" s="22"/>
      <c r="AL861" s="22"/>
      <c r="AM861" s="22"/>
      <c r="AN861" s="22"/>
      <c r="AO861" s="22"/>
      <c r="AP861" s="22"/>
      <c r="AQ861" s="22"/>
    </row>
    <row r="862" spans="1:43"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2"/>
      <c r="Y862" s="22"/>
      <c r="Z862" s="22"/>
      <c r="AA862" s="22"/>
      <c r="AB862" s="22"/>
      <c r="AC862" s="22"/>
      <c r="AD862" s="22"/>
      <c r="AE862" s="22"/>
      <c r="AF862" s="22"/>
      <c r="AG862" s="22"/>
      <c r="AH862" s="22"/>
      <c r="AI862" s="22"/>
      <c r="AJ862" s="22"/>
      <c r="AK862" s="22"/>
      <c r="AL862" s="22"/>
      <c r="AM862" s="22"/>
      <c r="AN862" s="22"/>
      <c r="AO862" s="22"/>
      <c r="AP862" s="22"/>
      <c r="AQ862" s="22"/>
    </row>
    <row r="863" spans="1:43"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2"/>
      <c r="Y863" s="22"/>
      <c r="Z863" s="22"/>
      <c r="AA863" s="22"/>
      <c r="AB863" s="22"/>
      <c r="AC863" s="22"/>
      <c r="AD863" s="22"/>
      <c r="AE863" s="22"/>
      <c r="AF863" s="22"/>
      <c r="AG863" s="22"/>
      <c r="AH863" s="22"/>
      <c r="AI863" s="22"/>
      <c r="AJ863" s="22"/>
      <c r="AK863" s="22"/>
      <c r="AL863" s="22"/>
      <c r="AM863" s="22"/>
      <c r="AN863" s="22"/>
      <c r="AO863" s="22"/>
      <c r="AP863" s="22"/>
      <c r="AQ863" s="22"/>
    </row>
    <row r="864" spans="1:43"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2"/>
      <c r="Y864" s="22"/>
      <c r="Z864" s="22"/>
      <c r="AA864" s="22"/>
      <c r="AB864" s="22"/>
      <c r="AC864" s="22"/>
      <c r="AD864" s="22"/>
      <c r="AE864" s="22"/>
      <c r="AF864" s="22"/>
      <c r="AG864" s="22"/>
      <c r="AH864" s="22"/>
      <c r="AI864" s="22"/>
      <c r="AJ864" s="22"/>
      <c r="AK864" s="22"/>
      <c r="AL864" s="22"/>
      <c r="AM864" s="22"/>
      <c r="AN864" s="22"/>
      <c r="AO864" s="22"/>
      <c r="AP864" s="22"/>
      <c r="AQ864" s="22"/>
    </row>
    <row r="865" spans="1:43"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2"/>
      <c r="Y865" s="22"/>
      <c r="Z865" s="22"/>
      <c r="AA865" s="22"/>
      <c r="AB865" s="22"/>
      <c r="AC865" s="22"/>
      <c r="AD865" s="22"/>
      <c r="AE865" s="22"/>
      <c r="AF865" s="22"/>
      <c r="AG865" s="22"/>
      <c r="AH865" s="22"/>
      <c r="AI865" s="22"/>
      <c r="AJ865" s="22"/>
      <c r="AK865" s="22"/>
      <c r="AL865" s="22"/>
      <c r="AM865" s="22"/>
      <c r="AN865" s="22"/>
      <c r="AO865" s="22"/>
      <c r="AP865" s="22"/>
      <c r="AQ865" s="22"/>
    </row>
    <row r="866" spans="1:43"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2"/>
      <c r="Y866" s="22"/>
      <c r="Z866" s="22"/>
      <c r="AA866" s="22"/>
      <c r="AB866" s="22"/>
      <c r="AC866" s="22"/>
      <c r="AD866" s="22"/>
      <c r="AE866" s="22"/>
      <c r="AF866" s="22"/>
      <c r="AG866" s="22"/>
      <c r="AH866" s="22"/>
      <c r="AI866" s="22"/>
      <c r="AJ866" s="22"/>
      <c r="AK866" s="22"/>
      <c r="AL866" s="22"/>
      <c r="AM866" s="22"/>
      <c r="AN866" s="22"/>
      <c r="AO866" s="22"/>
      <c r="AP866" s="22"/>
      <c r="AQ866" s="22"/>
    </row>
    <row r="867" spans="1:43"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2"/>
      <c r="Y867" s="22"/>
      <c r="Z867" s="22"/>
      <c r="AA867" s="22"/>
      <c r="AB867" s="22"/>
      <c r="AC867" s="22"/>
      <c r="AD867" s="22"/>
      <c r="AE867" s="22"/>
      <c r="AF867" s="22"/>
      <c r="AG867" s="22"/>
      <c r="AH867" s="22"/>
      <c r="AI867" s="22"/>
      <c r="AJ867" s="22"/>
      <c r="AK867" s="22"/>
      <c r="AL867" s="22"/>
      <c r="AM867" s="22"/>
      <c r="AN867" s="22"/>
      <c r="AO867" s="22"/>
      <c r="AP867" s="22"/>
      <c r="AQ867" s="22"/>
    </row>
    <row r="868" spans="1:43"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2"/>
      <c r="Y868" s="22"/>
      <c r="Z868" s="22"/>
      <c r="AA868" s="22"/>
      <c r="AB868" s="22"/>
      <c r="AC868" s="22"/>
      <c r="AD868" s="22"/>
      <c r="AE868" s="22"/>
      <c r="AF868" s="22"/>
      <c r="AG868" s="22"/>
      <c r="AH868" s="22"/>
      <c r="AI868" s="22"/>
      <c r="AJ868" s="22"/>
      <c r="AK868" s="22"/>
      <c r="AL868" s="22"/>
      <c r="AM868" s="22"/>
      <c r="AN868" s="22"/>
      <c r="AO868" s="22"/>
      <c r="AP868" s="22"/>
      <c r="AQ868" s="22"/>
    </row>
    <row r="869" spans="1:43"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2"/>
      <c r="Y869" s="22"/>
      <c r="Z869" s="22"/>
      <c r="AA869" s="22"/>
      <c r="AB869" s="22"/>
      <c r="AC869" s="22"/>
      <c r="AD869" s="22"/>
      <c r="AE869" s="22"/>
      <c r="AF869" s="22"/>
      <c r="AG869" s="22"/>
      <c r="AH869" s="22"/>
      <c r="AI869" s="22"/>
      <c r="AJ869" s="22"/>
      <c r="AK869" s="22"/>
      <c r="AL869" s="22"/>
      <c r="AM869" s="22"/>
      <c r="AN869" s="22"/>
      <c r="AO869" s="22"/>
      <c r="AP869" s="22"/>
      <c r="AQ869" s="22"/>
    </row>
    <row r="870" spans="1:43"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2"/>
      <c r="Y870" s="22"/>
      <c r="Z870" s="22"/>
      <c r="AA870" s="22"/>
      <c r="AB870" s="22"/>
      <c r="AC870" s="22"/>
      <c r="AD870" s="22"/>
      <c r="AE870" s="22"/>
      <c r="AF870" s="22"/>
      <c r="AG870" s="22"/>
      <c r="AH870" s="22"/>
      <c r="AI870" s="22"/>
      <c r="AJ870" s="22"/>
      <c r="AK870" s="22"/>
      <c r="AL870" s="22"/>
      <c r="AM870" s="22"/>
      <c r="AN870" s="22"/>
      <c r="AO870" s="22"/>
      <c r="AP870" s="22"/>
      <c r="AQ870" s="22"/>
    </row>
    <row r="871" spans="1:43"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2"/>
      <c r="Y871" s="22"/>
      <c r="Z871" s="22"/>
      <c r="AA871" s="22"/>
      <c r="AB871" s="22"/>
      <c r="AC871" s="22"/>
      <c r="AD871" s="22"/>
      <c r="AE871" s="22"/>
      <c r="AF871" s="22"/>
      <c r="AG871" s="22"/>
      <c r="AH871" s="22"/>
      <c r="AI871" s="22"/>
      <c r="AJ871" s="22"/>
      <c r="AK871" s="22"/>
      <c r="AL871" s="22"/>
      <c r="AM871" s="22"/>
      <c r="AN871" s="22"/>
      <c r="AO871" s="22"/>
      <c r="AP871" s="22"/>
      <c r="AQ871" s="22"/>
    </row>
    <row r="872" spans="1:43"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2"/>
      <c r="Y872" s="22"/>
      <c r="Z872" s="22"/>
      <c r="AA872" s="22"/>
      <c r="AB872" s="22"/>
      <c r="AC872" s="22"/>
      <c r="AD872" s="22"/>
      <c r="AE872" s="22"/>
      <c r="AF872" s="22"/>
      <c r="AG872" s="22"/>
      <c r="AH872" s="22"/>
      <c r="AI872" s="22"/>
      <c r="AJ872" s="22"/>
      <c r="AK872" s="22"/>
      <c r="AL872" s="22"/>
      <c r="AM872" s="22"/>
      <c r="AN872" s="22"/>
      <c r="AO872" s="22"/>
      <c r="AP872" s="22"/>
      <c r="AQ872" s="22"/>
    </row>
    <row r="873" spans="1:43"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2"/>
      <c r="Y873" s="22"/>
      <c r="Z873" s="22"/>
      <c r="AA873" s="22"/>
      <c r="AB873" s="22"/>
      <c r="AC873" s="22"/>
      <c r="AD873" s="22"/>
      <c r="AE873" s="22"/>
      <c r="AF873" s="22"/>
      <c r="AG873" s="22"/>
      <c r="AH873" s="22"/>
      <c r="AI873" s="22"/>
      <c r="AJ873" s="22"/>
      <c r="AK873" s="22"/>
      <c r="AL873" s="22"/>
      <c r="AM873" s="22"/>
      <c r="AN873" s="22"/>
      <c r="AO873" s="22"/>
      <c r="AP873" s="22"/>
      <c r="AQ873" s="22"/>
    </row>
    <row r="874" spans="1:43"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2"/>
      <c r="Y874" s="22"/>
      <c r="Z874" s="22"/>
      <c r="AA874" s="22"/>
      <c r="AB874" s="22"/>
      <c r="AC874" s="22"/>
      <c r="AD874" s="22"/>
      <c r="AE874" s="22"/>
      <c r="AF874" s="22"/>
      <c r="AG874" s="22"/>
      <c r="AH874" s="22"/>
      <c r="AI874" s="22"/>
      <c r="AJ874" s="22"/>
      <c r="AK874" s="22"/>
      <c r="AL874" s="22"/>
      <c r="AM874" s="22"/>
      <c r="AN874" s="22"/>
      <c r="AO874" s="22"/>
      <c r="AP874" s="22"/>
      <c r="AQ874" s="22"/>
    </row>
    <row r="875" spans="1:43"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2"/>
      <c r="Y875" s="22"/>
      <c r="Z875" s="22"/>
      <c r="AA875" s="22"/>
      <c r="AB875" s="22"/>
      <c r="AC875" s="22"/>
      <c r="AD875" s="22"/>
      <c r="AE875" s="22"/>
      <c r="AF875" s="22"/>
      <c r="AG875" s="22"/>
      <c r="AH875" s="22"/>
      <c r="AI875" s="22"/>
      <c r="AJ875" s="22"/>
      <c r="AK875" s="22"/>
      <c r="AL875" s="22"/>
      <c r="AM875" s="22"/>
      <c r="AN875" s="22"/>
      <c r="AO875" s="22"/>
      <c r="AP875" s="22"/>
      <c r="AQ875" s="22"/>
    </row>
    <row r="876" spans="1:43"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2"/>
      <c r="Y876" s="22"/>
      <c r="Z876" s="22"/>
      <c r="AA876" s="22"/>
      <c r="AB876" s="22"/>
      <c r="AC876" s="22"/>
      <c r="AD876" s="22"/>
      <c r="AE876" s="22"/>
      <c r="AF876" s="22"/>
      <c r="AG876" s="22"/>
      <c r="AH876" s="22"/>
      <c r="AI876" s="22"/>
      <c r="AJ876" s="22"/>
      <c r="AK876" s="22"/>
      <c r="AL876" s="22"/>
      <c r="AM876" s="22"/>
      <c r="AN876" s="22"/>
      <c r="AO876" s="22"/>
      <c r="AP876" s="22"/>
      <c r="AQ876" s="22"/>
    </row>
    <row r="877" spans="1:43"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2"/>
      <c r="Y877" s="22"/>
      <c r="Z877" s="22"/>
      <c r="AA877" s="22"/>
      <c r="AB877" s="22"/>
      <c r="AC877" s="22"/>
      <c r="AD877" s="22"/>
      <c r="AE877" s="22"/>
      <c r="AF877" s="22"/>
      <c r="AG877" s="22"/>
      <c r="AH877" s="22"/>
      <c r="AI877" s="22"/>
      <c r="AJ877" s="22"/>
      <c r="AK877" s="22"/>
      <c r="AL877" s="22"/>
      <c r="AM877" s="22"/>
      <c r="AN877" s="22"/>
      <c r="AO877" s="22"/>
      <c r="AP877" s="22"/>
      <c r="AQ877" s="22"/>
    </row>
    <row r="878" spans="1:43"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2"/>
      <c r="Y878" s="22"/>
      <c r="Z878" s="22"/>
      <c r="AA878" s="22"/>
      <c r="AB878" s="22"/>
      <c r="AC878" s="22"/>
      <c r="AD878" s="22"/>
      <c r="AE878" s="22"/>
      <c r="AF878" s="22"/>
      <c r="AG878" s="22"/>
      <c r="AH878" s="22"/>
      <c r="AI878" s="22"/>
      <c r="AJ878" s="22"/>
      <c r="AK878" s="22"/>
      <c r="AL878" s="22"/>
      <c r="AM878" s="22"/>
      <c r="AN878" s="22"/>
      <c r="AO878" s="22"/>
      <c r="AP878" s="22"/>
      <c r="AQ878" s="22"/>
    </row>
    <row r="879" spans="1:43"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2"/>
      <c r="Y879" s="22"/>
      <c r="Z879" s="22"/>
      <c r="AA879" s="22"/>
      <c r="AB879" s="22"/>
      <c r="AC879" s="22"/>
      <c r="AD879" s="22"/>
      <c r="AE879" s="22"/>
      <c r="AF879" s="22"/>
      <c r="AG879" s="22"/>
      <c r="AH879" s="22"/>
      <c r="AI879" s="22"/>
      <c r="AJ879" s="22"/>
      <c r="AK879" s="22"/>
      <c r="AL879" s="22"/>
      <c r="AM879" s="22"/>
      <c r="AN879" s="22"/>
      <c r="AO879" s="22"/>
      <c r="AP879" s="22"/>
      <c r="AQ879" s="22"/>
    </row>
    <row r="880" spans="1:43"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2"/>
      <c r="Y880" s="22"/>
      <c r="Z880" s="22"/>
      <c r="AA880" s="22"/>
      <c r="AB880" s="22"/>
      <c r="AC880" s="22"/>
      <c r="AD880" s="22"/>
      <c r="AE880" s="22"/>
      <c r="AF880" s="22"/>
      <c r="AG880" s="22"/>
      <c r="AH880" s="22"/>
      <c r="AI880" s="22"/>
      <c r="AJ880" s="22"/>
      <c r="AK880" s="22"/>
      <c r="AL880" s="22"/>
      <c r="AM880" s="22"/>
      <c r="AN880" s="22"/>
      <c r="AO880" s="22"/>
      <c r="AP880" s="22"/>
      <c r="AQ880" s="22"/>
    </row>
    <row r="881" spans="1:43"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2"/>
      <c r="Y881" s="22"/>
      <c r="Z881" s="22"/>
      <c r="AA881" s="22"/>
      <c r="AB881" s="22"/>
      <c r="AC881" s="22"/>
      <c r="AD881" s="22"/>
      <c r="AE881" s="22"/>
      <c r="AF881" s="22"/>
      <c r="AG881" s="22"/>
      <c r="AH881" s="22"/>
      <c r="AI881" s="22"/>
      <c r="AJ881" s="22"/>
      <c r="AK881" s="22"/>
      <c r="AL881" s="22"/>
      <c r="AM881" s="22"/>
      <c r="AN881" s="22"/>
      <c r="AO881" s="22"/>
      <c r="AP881" s="22"/>
      <c r="AQ881" s="22"/>
    </row>
    <row r="882" spans="1:43"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2"/>
      <c r="Y882" s="22"/>
      <c r="Z882" s="22"/>
      <c r="AA882" s="22"/>
      <c r="AB882" s="22"/>
      <c r="AC882" s="22"/>
      <c r="AD882" s="22"/>
      <c r="AE882" s="22"/>
      <c r="AF882" s="22"/>
      <c r="AG882" s="22"/>
      <c r="AH882" s="22"/>
      <c r="AI882" s="22"/>
      <c r="AJ882" s="22"/>
      <c r="AK882" s="22"/>
      <c r="AL882" s="22"/>
      <c r="AM882" s="22"/>
      <c r="AN882" s="22"/>
      <c r="AO882" s="22"/>
      <c r="AP882" s="22"/>
      <c r="AQ882" s="22"/>
    </row>
    <row r="883" spans="1:43"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2"/>
      <c r="Y883" s="22"/>
      <c r="Z883" s="22"/>
      <c r="AA883" s="22"/>
      <c r="AB883" s="22"/>
      <c r="AC883" s="22"/>
      <c r="AD883" s="22"/>
      <c r="AE883" s="22"/>
      <c r="AF883" s="22"/>
      <c r="AG883" s="22"/>
      <c r="AH883" s="22"/>
      <c r="AI883" s="22"/>
      <c r="AJ883" s="22"/>
      <c r="AK883" s="22"/>
      <c r="AL883" s="22"/>
      <c r="AM883" s="22"/>
      <c r="AN883" s="22"/>
      <c r="AO883" s="22"/>
      <c r="AP883" s="22"/>
      <c r="AQ883" s="22"/>
    </row>
    <row r="884" spans="1:43"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2"/>
      <c r="Y884" s="22"/>
      <c r="Z884" s="22"/>
      <c r="AA884" s="22"/>
      <c r="AB884" s="22"/>
      <c r="AC884" s="22"/>
      <c r="AD884" s="22"/>
      <c r="AE884" s="22"/>
      <c r="AF884" s="22"/>
      <c r="AG884" s="22"/>
      <c r="AH884" s="22"/>
      <c r="AI884" s="22"/>
      <c r="AJ884" s="22"/>
      <c r="AK884" s="22"/>
      <c r="AL884" s="22"/>
      <c r="AM884" s="22"/>
      <c r="AN884" s="22"/>
      <c r="AO884" s="22"/>
      <c r="AP884" s="22"/>
      <c r="AQ884" s="22"/>
    </row>
    <row r="885" spans="1:43"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2"/>
      <c r="Y885" s="22"/>
      <c r="Z885" s="22"/>
      <c r="AA885" s="22"/>
      <c r="AB885" s="22"/>
      <c r="AC885" s="22"/>
      <c r="AD885" s="22"/>
      <c r="AE885" s="22"/>
      <c r="AF885" s="22"/>
      <c r="AG885" s="22"/>
      <c r="AH885" s="22"/>
      <c r="AI885" s="22"/>
      <c r="AJ885" s="22"/>
      <c r="AK885" s="22"/>
      <c r="AL885" s="22"/>
      <c r="AM885" s="22"/>
      <c r="AN885" s="22"/>
      <c r="AO885" s="22"/>
      <c r="AP885" s="22"/>
      <c r="AQ885" s="22"/>
    </row>
    <row r="886" spans="1:43"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2"/>
      <c r="Y886" s="22"/>
      <c r="Z886" s="22"/>
      <c r="AA886" s="22"/>
      <c r="AB886" s="22"/>
      <c r="AC886" s="22"/>
      <c r="AD886" s="22"/>
      <c r="AE886" s="22"/>
      <c r="AF886" s="22"/>
      <c r="AG886" s="22"/>
      <c r="AH886" s="22"/>
      <c r="AI886" s="22"/>
      <c r="AJ886" s="22"/>
      <c r="AK886" s="22"/>
      <c r="AL886" s="22"/>
      <c r="AM886" s="22"/>
      <c r="AN886" s="22"/>
      <c r="AO886" s="22"/>
      <c r="AP886" s="22"/>
      <c r="AQ886" s="22"/>
    </row>
    <row r="887" spans="1:43"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2"/>
      <c r="Y887" s="22"/>
      <c r="Z887" s="22"/>
      <c r="AA887" s="22"/>
      <c r="AB887" s="22"/>
      <c r="AC887" s="22"/>
      <c r="AD887" s="22"/>
      <c r="AE887" s="22"/>
      <c r="AF887" s="22"/>
      <c r="AG887" s="22"/>
      <c r="AH887" s="22"/>
      <c r="AI887" s="22"/>
      <c r="AJ887" s="22"/>
      <c r="AK887" s="22"/>
      <c r="AL887" s="22"/>
      <c r="AM887" s="22"/>
      <c r="AN887" s="22"/>
      <c r="AO887" s="22"/>
      <c r="AP887" s="22"/>
      <c r="AQ887" s="22"/>
    </row>
    <row r="888" spans="1:43"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2"/>
      <c r="Y888" s="22"/>
      <c r="Z888" s="22"/>
      <c r="AA888" s="22"/>
      <c r="AB888" s="22"/>
      <c r="AC888" s="22"/>
      <c r="AD888" s="22"/>
      <c r="AE888" s="22"/>
      <c r="AF888" s="22"/>
      <c r="AG888" s="22"/>
      <c r="AH888" s="22"/>
      <c r="AI888" s="22"/>
      <c r="AJ888" s="22"/>
      <c r="AK888" s="22"/>
      <c r="AL888" s="22"/>
      <c r="AM888" s="22"/>
      <c r="AN888" s="22"/>
      <c r="AO888" s="22"/>
      <c r="AP888" s="22"/>
      <c r="AQ888" s="22"/>
    </row>
    <row r="889" spans="1:43"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2"/>
      <c r="Y889" s="22"/>
      <c r="Z889" s="22"/>
      <c r="AA889" s="22"/>
      <c r="AB889" s="22"/>
      <c r="AC889" s="22"/>
      <c r="AD889" s="22"/>
      <c r="AE889" s="22"/>
      <c r="AF889" s="22"/>
      <c r="AG889" s="22"/>
      <c r="AH889" s="22"/>
      <c r="AI889" s="22"/>
      <c r="AJ889" s="22"/>
      <c r="AK889" s="22"/>
      <c r="AL889" s="22"/>
      <c r="AM889" s="22"/>
      <c r="AN889" s="22"/>
      <c r="AO889" s="22"/>
      <c r="AP889" s="22"/>
      <c r="AQ889" s="22"/>
    </row>
    <row r="890" spans="1:43"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2"/>
      <c r="Y890" s="22"/>
      <c r="Z890" s="22"/>
      <c r="AA890" s="22"/>
      <c r="AB890" s="22"/>
      <c r="AC890" s="22"/>
      <c r="AD890" s="22"/>
      <c r="AE890" s="22"/>
      <c r="AF890" s="22"/>
      <c r="AG890" s="22"/>
      <c r="AH890" s="22"/>
      <c r="AI890" s="22"/>
      <c r="AJ890" s="22"/>
      <c r="AK890" s="22"/>
      <c r="AL890" s="22"/>
      <c r="AM890" s="22"/>
      <c r="AN890" s="22"/>
      <c r="AO890" s="22"/>
      <c r="AP890" s="22"/>
      <c r="AQ890" s="22"/>
    </row>
    <row r="891" spans="1:43"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2"/>
      <c r="Y891" s="22"/>
      <c r="Z891" s="22"/>
      <c r="AA891" s="22"/>
      <c r="AB891" s="22"/>
      <c r="AC891" s="22"/>
      <c r="AD891" s="22"/>
      <c r="AE891" s="22"/>
      <c r="AF891" s="22"/>
      <c r="AG891" s="22"/>
      <c r="AH891" s="22"/>
      <c r="AI891" s="22"/>
      <c r="AJ891" s="22"/>
      <c r="AK891" s="22"/>
      <c r="AL891" s="22"/>
      <c r="AM891" s="22"/>
      <c r="AN891" s="22"/>
      <c r="AO891" s="22"/>
      <c r="AP891" s="22"/>
      <c r="AQ891" s="22"/>
    </row>
    <row r="892" spans="1:43"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2"/>
      <c r="Y892" s="22"/>
      <c r="Z892" s="22"/>
      <c r="AA892" s="22"/>
      <c r="AB892" s="22"/>
      <c r="AC892" s="22"/>
      <c r="AD892" s="22"/>
      <c r="AE892" s="22"/>
      <c r="AF892" s="22"/>
      <c r="AG892" s="22"/>
      <c r="AH892" s="22"/>
      <c r="AI892" s="22"/>
      <c r="AJ892" s="22"/>
      <c r="AK892" s="22"/>
      <c r="AL892" s="22"/>
      <c r="AM892" s="22"/>
      <c r="AN892" s="22"/>
      <c r="AO892" s="22"/>
      <c r="AP892" s="22"/>
      <c r="AQ892" s="22"/>
    </row>
    <row r="893" spans="1:43"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2"/>
      <c r="Y893" s="22"/>
      <c r="Z893" s="22"/>
      <c r="AA893" s="22"/>
      <c r="AB893" s="22"/>
      <c r="AC893" s="22"/>
      <c r="AD893" s="22"/>
      <c r="AE893" s="22"/>
      <c r="AF893" s="22"/>
      <c r="AG893" s="22"/>
      <c r="AH893" s="22"/>
      <c r="AI893" s="22"/>
      <c r="AJ893" s="22"/>
      <c r="AK893" s="22"/>
      <c r="AL893" s="22"/>
      <c r="AM893" s="22"/>
      <c r="AN893" s="22"/>
      <c r="AO893" s="22"/>
      <c r="AP893" s="22"/>
      <c r="AQ893" s="22"/>
    </row>
    <row r="894" spans="1:43"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2"/>
      <c r="Y894" s="22"/>
      <c r="Z894" s="22"/>
      <c r="AA894" s="22"/>
      <c r="AB894" s="22"/>
      <c r="AC894" s="22"/>
      <c r="AD894" s="22"/>
      <c r="AE894" s="22"/>
      <c r="AF894" s="22"/>
      <c r="AG894" s="22"/>
      <c r="AH894" s="22"/>
      <c r="AI894" s="22"/>
      <c r="AJ894" s="22"/>
      <c r="AK894" s="22"/>
      <c r="AL894" s="22"/>
      <c r="AM894" s="22"/>
      <c r="AN894" s="22"/>
      <c r="AO894" s="22"/>
      <c r="AP894" s="22"/>
      <c r="AQ894" s="22"/>
    </row>
    <row r="895" spans="1:43"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2"/>
      <c r="Y895" s="22"/>
      <c r="Z895" s="22"/>
      <c r="AA895" s="22"/>
      <c r="AB895" s="22"/>
      <c r="AC895" s="22"/>
      <c r="AD895" s="22"/>
      <c r="AE895" s="22"/>
      <c r="AF895" s="22"/>
      <c r="AG895" s="22"/>
      <c r="AH895" s="22"/>
      <c r="AI895" s="22"/>
      <c r="AJ895" s="22"/>
      <c r="AK895" s="22"/>
      <c r="AL895" s="22"/>
      <c r="AM895" s="22"/>
      <c r="AN895" s="22"/>
      <c r="AO895" s="22"/>
      <c r="AP895" s="22"/>
      <c r="AQ895" s="22"/>
    </row>
    <row r="896" spans="1:43"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2"/>
      <c r="Y896" s="22"/>
      <c r="Z896" s="22"/>
      <c r="AA896" s="22"/>
      <c r="AB896" s="22"/>
      <c r="AC896" s="22"/>
      <c r="AD896" s="22"/>
      <c r="AE896" s="22"/>
      <c r="AF896" s="22"/>
      <c r="AG896" s="22"/>
      <c r="AH896" s="22"/>
      <c r="AI896" s="22"/>
      <c r="AJ896" s="22"/>
      <c r="AK896" s="22"/>
      <c r="AL896" s="22"/>
      <c r="AM896" s="22"/>
      <c r="AN896" s="22"/>
      <c r="AO896" s="22"/>
      <c r="AP896" s="22"/>
      <c r="AQ896" s="22"/>
    </row>
    <row r="897" spans="1:43"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2"/>
      <c r="Y897" s="22"/>
      <c r="Z897" s="22"/>
      <c r="AA897" s="22"/>
      <c r="AB897" s="22"/>
      <c r="AC897" s="22"/>
      <c r="AD897" s="22"/>
      <c r="AE897" s="22"/>
      <c r="AF897" s="22"/>
      <c r="AG897" s="22"/>
      <c r="AH897" s="22"/>
      <c r="AI897" s="22"/>
      <c r="AJ897" s="22"/>
      <c r="AK897" s="22"/>
      <c r="AL897" s="22"/>
      <c r="AM897" s="22"/>
      <c r="AN897" s="22"/>
      <c r="AO897" s="22"/>
      <c r="AP897" s="22"/>
      <c r="AQ897" s="22"/>
    </row>
    <row r="898" spans="1:43"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2"/>
      <c r="Y898" s="22"/>
      <c r="Z898" s="22"/>
      <c r="AA898" s="22"/>
      <c r="AB898" s="22"/>
      <c r="AC898" s="22"/>
      <c r="AD898" s="22"/>
      <c r="AE898" s="22"/>
      <c r="AF898" s="22"/>
      <c r="AG898" s="22"/>
      <c r="AH898" s="22"/>
      <c r="AI898" s="22"/>
      <c r="AJ898" s="22"/>
      <c r="AK898" s="22"/>
      <c r="AL898" s="22"/>
      <c r="AM898" s="22"/>
      <c r="AN898" s="22"/>
      <c r="AO898" s="22"/>
      <c r="AP898" s="22"/>
      <c r="AQ898" s="22"/>
    </row>
    <row r="899" spans="1:43"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2"/>
      <c r="Y899" s="22"/>
      <c r="Z899" s="22"/>
      <c r="AA899" s="22"/>
      <c r="AB899" s="22"/>
      <c r="AC899" s="22"/>
      <c r="AD899" s="22"/>
      <c r="AE899" s="22"/>
      <c r="AF899" s="22"/>
      <c r="AG899" s="22"/>
      <c r="AH899" s="22"/>
      <c r="AI899" s="22"/>
      <c r="AJ899" s="22"/>
      <c r="AK899" s="22"/>
      <c r="AL899" s="22"/>
      <c r="AM899" s="22"/>
      <c r="AN899" s="22"/>
      <c r="AO899" s="22"/>
      <c r="AP899" s="22"/>
      <c r="AQ899" s="22"/>
    </row>
    <row r="900" spans="1:43"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2"/>
      <c r="Y900" s="22"/>
      <c r="Z900" s="22"/>
      <c r="AA900" s="22"/>
      <c r="AB900" s="22"/>
      <c r="AC900" s="22"/>
      <c r="AD900" s="22"/>
      <c r="AE900" s="22"/>
      <c r="AF900" s="22"/>
      <c r="AG900" s="22"/>
      <c r="AH900" s="22"/>
      <c r="AI900" s="22"/>
      <c r="AJ900" s="22"/>
      <c r="AK900" s="22"/>
      <c r="AL900" s="22"/>
      <c r="AM900" s="22"/>
      <c r="AN900" s="22"/>
      <c r="AO900" s="22"/>
      <c r="AP900" s="22"/>
      <c r="AQ900" s="22"/>
    </row>
    <row r="901" spans="1:43"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2"/>
      <c r="Y901" s="22"/>
      <c r="Z901" s="22"/>
      <c r="AA901" s="22"/>
      <c r="AB901" s="22"/>
      <c r="AC901" s="22"/>
      <c r="AD901" s="22"/>
      <c r="AE901" s="22"/>
      <c r="AF901" s="22"/>
      <c r="AG901" s="22"/>
      <c r="AH901" s="22"/>
      <c r="AI901" s="22"/>
      <c r="AJ901" s="22"/>
      <c r="AK901" s="22"/>
      <c r="AL901" s="22"/>
      <c r="AM901" s="22"/>
      <c r="AN901" s="22"/>
      <c r="AO901" s="22"/>
      <c r="AP901" s="22"/>
      <c r="AQ901" s="22"/>
    </row>
    <row r="902" spans="1:43"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2"/>
      <c r="Y902" s="22"/>
      <c r="Z902" s="22"/>
      <c r="AA902" s="22"/>
      <c r="AB902" s="22"/>
      <c r="AC902" s="22"/>
      <c r="AD902" s="22"/>
      <c r="AE902" s="22"/>
      <c r="AF902" s="22"/>
      <c r="AG902" s="22"/>
      <c r="AH902" s="22"/>
      <c r="AI902" s="22"/>
      <c r="AJ902" s="22"/>
      <c r="AK902" s="22"/>
      <c r="AL902" s="22"/>
      <c r="AM902" s="22"/>
      <c r="AN902" s="22"/>
      <c r="AO902" s="22"/>
      <c r="AP902" s="22"/>
      <c r="AQ902" s="22"/>
    </row>
    <row r="903" spans="1:43"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2"/>
      <c r="Y903" s="22"/>
      <c r="Z903" s="22"/>
      <c r="AA903" s="22"/>
      <c r="AB903" s="22"/>
      <c r="AC903" s="22"/>
      <c r="AD903" s="22"/>
      <c r="AE903" s="22"/>
      <c r="AF903" s="22"/>
      <c r="AG903" s="22"/>
      <c r="AH903" s="22"/>
      <c r="AI903" s="22"/>
      <c r="AJ903" s="22"/>
      <c r="AK903" s="22"/>
      <c r="AL903" s="22"/>
      <c r="AM903" s="22"/>
      <c r="AN903" s="22"/>
      <c r="AO903" s="22"/>
      <c r="AP903" s="22"/>
      <c r="AQ903" s="22"/>
    </row>
    <row r="904" spans="1:43"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2"/>
      <c r="Y904" s="22"/>
      <c r="Z904" s="22"/>
      <c r="AA904" s="22"/>
      <c r="AB904" s="22"/>
      <c r="AC904" s="22"/>
      <c r="AD904" s="22"/>
      <c r="AE904" s="22"/>
      <c r="AF904" s="22"/>
      <c r="AG904" s="22"/>
      <c r="AH904" s="22"/>
      <c r="AI904" s="22"/>
      <c r="AJ904" s="22"/>
      <c r="AK904" s="22"/>
      <c r="AL904" s="22"/>
      <c r="AM904" s="22"/>
      <c r="AN904" s="22"/>
      <c r="AO904" s="22"/>
      <c r="AP904" s="22"/>
      <c r="AQ904" s="22"/>
    </row>
    <row r="905" spans="1:43"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2"/>
      <c r="Y905" s="22"/>
      <c r="Z905" s="22"/>
      <c r="AA905" s="22"/>
      <c r="AB905" s="22"/>
      <c r="AC905" s="22"/>
      <c r="AD905" s="22"/>
      <c r="AE905" s="22"/>
      <c r="AF905" s="22"/>
      <c r="AG905" s="22"/>
      <c r="AH905" s="22"/>
      <c r="AI905" s="22"/>
      <c r="AJ905" s="22"/>
      <c r="AK905" s="22"/>
      <c r="AL905" s="22"/>
      <c r="AM905" s="22"/>
      <c r="AN905" s="22"/>
      <c r="AO905" s="22"/>
      <c r="AP905" s="22"/>
      <c r="AQ905" s="22"/>
    </row>
    <row r="906" spans="1:43"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2"/>
      <c r="Y906" s="22"/>
      <c r="Z906" s="22"/>
      <c r="AA906" s="22"/>
      <c r="AB906" s="22"/>
      <c r="AC906" s="22"/>
      <c r="AD906" s="22"/>
      <c r="AE906" s="22"/>
      <c r="AF906" s="22"/>
      <c r="AG906" s="22"/>
      <c r="AH906" s="22"/>
      <c r="AI906" s="22"/>
      <c r="AJ906" s="22"/>
      <c r="AK906" s="22"/>
      <c r="AL906" s="22"/>
      <c r="AM906" s="22"/>
      <c r="AN906" s="22"/>
      <c r="AO906" s="22"/>
      <c r="AP906" s="22"/>
      <c r="AQ906" s="22"/>
    </row>
    <row r="907" spans="1:43"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2"/>
      <c r="Y907" s="22"/>
      <c r="Z907" s="22"/>
      <c r="AA907" s="22"/>
      <c r="AB907" s="22"/>
      <c r="AC907" s="22"/>
      <c r="AD907" s="22"/>
      <c r="AE907" s="22"/>
      <c r="AF907" s="22"/>
      <c r="AG907" s="22"/>
      <c r="AH907" s="22"/>
      <c r="AI907" s="22"/>
      <c r="AJ907" s="22"/>
      <c r="AK907" s="22"/>
      <c r="AL907" s="22"/>
      <c r="AM907" s="22"/>
      <c r="AN907" s="22"/>
      <c r="AO907" s="22"/>
      <c r="AP907" s="22"/>
      <c r="AQ907" s="22"/>
    </row>
    <row r="908" spans="1:43"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2"/>
      <c r="Y908" s="22"/>
      <c r="Z908" s="22"/>
      <c r="AA908" s="22"/>
      <c r="AB908" s="22"/>
      <c r="AC908" s="22"/>
      <c r="AD908" s="22"/>
      <c r="AE908" s="22"/>
      <c r="AF908" s="22"/>
      <c r="AG908" s="22"/>
      <c r="AH908" s="22"/>
      <c r="AI908" s="22"/>
      <c r="AJ908" s="22"/>
      <c r="AK908" s="22"/>
      <c r="AL908" s="22"/>
      <c r="AM908" s="22"/>
      <c r="AN908" s="22"/>
      <c r="AO908" s="22"/>
      <c r="AP908" s="22"/>
      <c r="AQ908" s="22"/>
    </row>
    <row r="909" spans="1:43"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2"/>
      <c r="Y909" s="22"/>
      <c r="Z909" s="22"/>
      <c r="AA909" s="22"/>
      <c r="AB909" s="22"/>
      <c r="AC909" s="22"/>
      <c r="AD909" s="22"/>
      <c r="AE909" s="22"/>
      <c r="AF909" s="22"/>
      <c r="AG909" s="22"/>
      <c r="AH909" s="22"/>
      <c r="AI909" s="22"/>
      <c r="AJ909" s="22"/>
      <c r="AK909" s="22"/>
      <c r="AL909" s="22"/>
      <c r="AM909" s="22"/>
      <c r="AN909" s="22"/>
      <c r="AO909" s="22"/>
      <c r="AP909" s="22"/>
      <c r="AQ909" s="22"/>
    </row>
    <row r="910" spans="1:43"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2"/>
      <c r="Y910" s="22"/>
      <c r="Z910" s="22"/>
      <c r="AA910" s="22"/>
      <c r="AB910" s="22"/>
      <c r="AC910" s="22"/>
      <c r="AD910" s="22"/>
      <c r="AE910" s="22"/>
      <c r="AF910" s="22"/>
      <c r="AG910" s="22"/>
      <c r="AH910" s="22"/>
      <c r="AI910" s="22"/>
      <c r="AJ910" s="22"/>
      <c r="AK910" s="22"/>
      <c r="AL910" s="22"/>
      <c r="AM910" s="22"/>
      <c r="AN910" s="22"/>
      <c r="AO910" s="22"/>
      <c r="AP910" s="22"/>
      <c r="AQ910" s="22"/>
    </row>
    <row r="911" spans="1:43"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2"/>
      <c r="Y911" s="22"/>
      <c r="Z911" s="22"/>
      <c r="AA911" s="22"/>
      <c r="AB911" s="22"/>
      <c r="AC911" s="22"/>
      <c r="AD911" s="22"/>
      <c r="AE911" s="22"/>
      <c r="AF911" s="22"/>
      <c r="AG911" s="22"/>
      <c r="AH911" s="22"/>
      <c r="AI911" s="22"/>
      <c r="AJ911" s="22"/>
      <c r="AK911" s="22"/>
      <c r="AL911" s="22"/>
      <c r="AM911" s="22"/>
      <c r="AN911" s="22"/>
      <c r="AO911" s="22"/>
      <c r="AP911" s="22"/>
      <c r="AQ911" s="22"/>
    </row>
    <row r="912" spans="1:43"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2"/>
      <c r="Y912" s="22"/>
      <c r="Z912" s="22"/>
      <c r="AA912" s="22"/>
      <c r="AB912" s="22"/>
      <c r="AC912" s="22"/>
      <c r="AD912" s="22"/>
      <c r="AE912" s="22"/>
      <c r="AF912" s="22"/>
      <c r="AG912" s="22"/>
      <c r="AH912" s="22"/>
      <c r="AI912" s="22"/>
      <c r="AJ912" s="22"/>
      <c r="AK912" s="22"/>
      <c r="AL912" s="22"/>
      <c r="AM912" s="22"/>
      <c r="AN912" s="22"/>
      <c r="AO912" s="22"/>
      <c r="AP912" s="22"/>
      <c r="AQ912" s="22"/>
    </row>
    <row r="913" spans="1:43"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2"/>
      <c r="Y913" s="22"/>
      <c r="Z913" s="22"/>
      <c r="AA913" s="22"/>
      <c r="AB913" s="22"/>
      <c r="AC913" s="22"/>
      <c r="AD913" s="22"/>
      <c r="AE913" s="22"/>
      <c r="AF913" s="22"/>
      <c r="AG913" s="22"/>
      <c r="AH913" s="22"/>
      <c r="AI913" s="22"/>
      <c r="AJ913" s="22"/>
      <c r="AK913" s="22"/>
      <c r="AL913" s="22"/>
      <c r="AM913" s="22"/>
      <c r="AN913" s="22"/>
      <c r="AO913" s="22"/>
      <c r="AP913" s="22"/>
      <c r="AQ913" s="22"/>
    </row>
    <row r="914" spans="1:43"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2"/>
      <c r="Y914" s="22"/>
      <c r="Z914" s="22"/>
      <c r="AA914" s="22"/>
      <c r="AB914" s="22"/>
      <c r="AC914" s="22"/>
      <c r="AD914" s="22"/>
      <c r="AE914" s="22"/>
      <c r="AF914" s="22"/>
      <c r="AG914" s="22"/>
      <c r="AH914" s="22"/>
      <c r="AI914" s="22"/>
      <c r="AJ914" s="22"/>
      <c r="AK914" s="22"/>
      <c r="AL914" s="22"/>
      <c r="AM914" s="22"/>
      <c r="AN914" s="22"/>
      <c r="AO914" s="22"/>
      <c r="AP914" s="22"/>
      <c r="AQ914" s="22"/>
    </row>
    <row r="915" spans="1:43"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2"/>
      <c r="Y915" s="22"/>
      <c r="Z915" s="22"/>
      <c r="AA915" s="22"/>
      <c r="AB915" s="22"/>
      <c r="AC915" s="22"/>
      <c r="AD915" s="22"/>
      <c r="AE915" s="22"/>
      <c r="AF915" s="22"/>
      <c r="AG915" s="22"/>
      <c r="AH915" s="22"/>
      <c r="AI915" s="22"/>
      <c r="AJ915" s="22"/>
      <c r="AK915" s="22"/>
      <c r="AL915" s="22"/>
      <c r="AM915" s="22"/>
      <c r="AN915" s="22"/>
      <c r="AO915" s="22"/>
      <c r="AP915" s="22"/>
      <c r="AQ915" s="22"/>
    </row>
    <row r="916" spans="1:43"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2"/>
      <c r="Y916" s="22"/>
      <c r="Z916" s="22"/>
      <c r="AA916" s="22"/>
      <c r="AB916" s="22"/>
      <c r="AC916" s="22"/>
      <c r="AD916" s="22"/>
      <c r="AE916" s="22"/>
      <c r="AF916" s="22"/>
      <c r="AG916" s="22"/>
      <c r="AH916" s="22"/>
      <c r="AI916" s="22"/>
      <c r="AJ916" s="22"/>
      <c r="AK916" s="22"/>
      <c r="AL916" s="22"/>
      <c r="AM916" s="22"/>
      <c r="AN916" s="22"/>
      <c r="AO916" s="22"/>
      <c r="AP916" s="22"/>
      <c r="AQ916" s="22"/>
    </row>
    <row r="917" spans="1:43"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2"/>
      <c r="Y917" s="22"/>
      <c r="Z917" s="22"/>
      <c r="AA917" s="22"/>
      <c r="AB917" s="22"/>
      <c r="AC917" s="22"/>
      <c r="AD917" s="22"/>
      <c r="AE917" s="22"/>
      <c r="AF917" s="22"/>
      <c r="AG917" s="22"/>
      <c r="AH917" s="22"/>
      <c r="AI917" s="22"/>
      <c r="AJ917" s="22"/>
      <c r="AK917" s="22"/>
      <c r="AL917" s="22"/>
      <c r="AM917" s="22"/>
      <c r="AN917" s="22"/>
      <c r="AO917" s="22"/>
      <c r="AP917" s="22"/>
      <c r="AQ917" s="22"/>
    </row>
    <row r="918" spans="1:43"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2"/>
      <c r="Y918" s="22"/>
      <c r="Z918" s="22"/>
      <c r="AA918" s="22"/>
      <c r="AB918" s="22"/>
      <c r="AC918" s="22"/>
      <c r="AD918" s="22"/>
      <c r="AE918" s="22"/>
      <c r="AF918" s="22"/>
      <c r="AG918" s="22"/>
      <c r="AH918" s="22"/>
      <c r="AI918" s="22"/>
      <c r="AJ918" s="22"/>
      <c r="AK918" s="22"/>
      <c r="AL918" s="22"/>
      <c r="AM918" s="22"/>
      <c r="AN918" s="22"/>
      <c r="AO918" s="22"/>
      <c r="AP918" s="22"/>
      <c r="AQ918" s="22"/>
    </row>
    <row r="919" spans="1:43"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2"/>
      <c r="Y919" s="22"/>
      <c r="Z919" s="22"/>
      <c r="AA919" s="22"/>
      <c r="AB919" s="22"/>
      <c r="AC919" s="22"/>
      <c r="AD919" s="22"/>
      <c r="AE919" s="22"/>
      <c r="AF919" s="22"/>
      <c r="AG919" s="22"/>
      <c r="AH919" s="22"/>
      <c r="AI919" s="22"/>
      <c r="AJ919" s="22"/>
      <c r="AK919" s="22"/>
      <c r="AL919" s="22"/>
      <c r="AM919" s="22"/>
      <c r="AN919" s="22"/>
      <c r="AO919" s="22"/>
      <c r="AP919" s="22"/>
      <c r="AQ919" s="22"/>
    </row>
    <row r="920" spans="1:43"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2"/>
      <c r="Y920" s="22"/>
      <c r="Z920" s="22"/>
      <c r="AA920" s="22"/>
      <c r="AB920" s="22"/>
      <c r="AC920" s="22"/>
      <c r="AD920" s="22"/>
      <c r="AE920" s="22"/>
      <c r="AF920" s="22"/>
      <c r="AG920" s="22"/>
      <c r="AH920" s="22"/>
      <c r="AI920" s="22"/>
      <c r="AJ920" s="22"/>
      <c r="AK920" s="22"/>
      <c r="AL920" s="22"/>
      <c r="AM920" s="22"/>
      <c r="AN920" s="22"/>
      <c r="AO920" s="22"/>
      <c r="AP920" s="22"/>
      <c r="AQ920" s="22"/>
    </row>
    <row r="921" spans="1:43"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2"/>
      <c r="Y921" s="22"/>
      <c r="Z921" s="22"/>
      <c r="AA921" s="22"/>
      <c r="AB921" s="22"/>
      <c r="AC921" s="22"/>
      <c r="AD921" s="22"/>
      <c r="AE921" s="22"/>
      <c r="AF921" s="22"/>
      <c r="AG921" s="22"/>
      <c r="AH921" s="22"/>
      <c r="AI921" s="22"/>
      <c r="AJ921" s="22"/>
      <c r="AK921" s="22"/>
      <c r="AL921" s="22"/>
      <c r="AM921" s="22"/>
      <c r="AN921" s="22"/>
      <c r="AO921" s="22"/>
      <c r="AP921" s="22"/>
      <c r="AQ921" s="22"/>
    </row>
    <row r="922" spans="1:43"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2"/>
      <c r="Y922" s="22"/>
      <c r="Z922" s="22"/>
      <c r="AA922" s="22"/>
      <c r="AB922" s="22"/>
      <c r="AC922" s="22"/>
      <c r="AD922" s="22"/>
      <c r="AE922" s="22"/>
      <c r="AF922" s="22"/>
      <c r="AG922" s="22"/>
      <c r="AH922" s="22"/>
      <c r="AI922" s="22"/>
      <c r="AJ922" s="22"/>
      <c r="AK922" s="22"/>
      <c r="AL922" s="22"/>
      <c r="AM922" s="22"/>
      <c r="AN922" s="22"/>
      <c r="AO922" s="22"/>
      <c r="AP922" s="22"/>
      <c r="AQ922" s="22"/>
    </row>
    <row r="923" spans="1:43"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2"/>
      <c r="Y923" s="22"/>
      <c r="Z923" s="22"/>
      <c r="AA923" s="22"/>
      <c r="AB923" s="22"/>
      <c r="AC923" s="22"/>
      <c r="AD923" s="22"/>
      <c r="AE923" s="22"/>
      <c r="AF923" s="22"/>
      <c r="AG923" s="22"/>
      <c r="AH923" s="22"/>
      <c r="AI923" s="22"/>
      <c r="AJ923" s="22"/>
      <c r="AK923" s="22"/>
      <c r="AL923" s="22"/>
      <c r="AM923" s="22"/>
      <c r="AN923" s="22"/>
      <c r="AO923" s="22"/>
      <c r="AP923" s="22"/>
      <c r="AQ923" s="22"/>
    </row>
    <row r="924" spans="1:43"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2"/>
      <c r="Y924" s="22"/>
      <c r="Z924" s="22"/>
      <c r="AA924" s="22"/>
      <c r="AB924" s="22"/>
      <c r="AC924" s="22"/>
      <c r="AD924" s="22"/>
      <c r="AE924" s="22"/>
      <c r="AF924" s="22"/>
      <c r="AG924" s="22"/>
      <c r="AH924" s="22"/>
      <c r="AI924" s="22"/>
      <c r="AJ924" s="22"/>
      <c r="AK924" s="22"/>
      <c r="AL924" s="22"/>
      <c r="AM924" s="22"/>
      <c r="AN924" s="22"/>
      <c r="AO924" s="22"/>
      <c r="AP924" s="22"/>
      <c r="AQ924" s="22"/>
    </row>
    <row r="925" spans="1:43"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2"/>
      <c r="Y925" s="22"/>
      <c r="Z925" s="22"/>
      <c r="AA925" s="22"/>
      <c r="AB925" s="22"/>
      <c r="AC925" s="22"/>
      <c r="AD925" s="22"/>
      <c r="AE925" s="22"/>
      <c r="AF925" s="22"/>
      <c r="AG925" s="22"/>
      <c r="AH925" s="22"/>
      <c r="AI925" s="22"/>
      <c r="AJ925" s="22"/>
      <c r="AK925" s="22"/>
      <c r="AL925" s="22"/>
      <c r="AM925" s="22"/>
      <c r="AN925" s="22"/>
      <c r="AO925" s="22"/>
      <c r="AP925" s="22"/>
      <c r="AQ925" s="22"/>
    </row>
    <row r="926" spans="1:43"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2"/>
      <c r="Y926" s="22"/>
      <c r="Z926" s="22"/>
      <c r="AA926" s="22"/>
      <c r="AB926" s="22"/>
      <c r="AC926" s="22"/>
      <c r="AD926" s="22"/>
      <c r="AE926" s="22"/>
      <c r="AF926" s="22"/>
      <c r="AG926" s="22"/>
      <c r="AH926" s="22"/>
      <c r="AI926" s="22"/>
      <c r="AJ926" s="22"/>
      <c r="AK926" s="22"/>
      <c r="AL926" s="22"/>
      <c r="AM926" s="22"/>
      <c r="AN926" s="22"/>
      <c r="AO926" s="22"/>
      <c r="AP926" s="22"/>
      <c r="AQ926" s="22"/>
    </row>
    <row r="927" spans="1:43"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2"/>
      <c r="Y927" s="22"/>
      <c r="Z927" s="22"/>
      <c r="AA927" s="22"/>
      <c r="AB927" s="22"/>
      <c r="AC927" s="22"/>
      <c r="AD927" s="22"/>
      <c r="AE927" s="22"/>
      <c r="AF927" s="22"/>
      <c r="AG927" s="22"/>
      <c r="AH927" s="22"/>
      <c r="AI927" s="22"/>
      <c r="AJ927" s="22"/>
      <c r="AK927" s="22"/>
      <c r="AL927" s="22"/>
      <c r="AM927" s="22"/>
      <c r="AN927" s="22"/>
      <c r="AO927" s="22"/>
      <c r="AP927" s="22"/>
      <c r="AQ927" s="22"/>
    </row>
    <row r="928" spans="1:43"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2"/>
      <c r="Y928" s="22"/>
      <c r="Z928" s="22"/>
      <c r="AA928" s="22"/>
      <c r="AB928" s="22"/>
      <c r="AC928" s="22"/>
      <c r="AD928" s="22"/>
      <c r="AE928" s="22"/>
      <c r="AF928" s="22"/>
      <c r="AG928" s="22"/>
      <c r="AH928" s="22"/>
      <c r="AI928" s="22"/>
      <c r="AJ928" s="22"/>
      <c r="AK928" s="22"/>
      <c r="AL928" s="22"/>
      <c r="AM928" s="22"/>
      <c r="AN928" s="22"/>
      <c r="AO928" s="22"/>
      <c r="AP928" s="22"/>
      <c r="AQ928" s="22"/>
    </row>
    <row r="929" spans="1:43"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2"/>
      <c r="Y929" s="22"/>
      <c r="Z929" s="22"/>
      <c r="AA929" s="22"/>
      <c r="AB929" s="22"/>
      <c r="AC929" s="22"/>
      <c r="AD929" s="22"/>
      <c r="AE929" s="22"/>
      <c r="AF929" s="22"/>
      <c r="AG929" s="22"/>
      <c r="AH929" s="22"/>
      <c r="AI929" s="22"/>
      <c r="AJ929" s="22"/>
      <c r="AK929" s="22"/>
      <c r="AL929" s="22"/>
      <c r="AM929" s="22"/>
      <c r="AN929" s="22"/>
      <c r="AO929" s="22"/>
      <c r="AP929" s="22"/>
      <c r="AQ929" s="22"/>
    </row>
    <row r="930" spans="1:43"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2"/>
      <c r="Y930" s="22"/>
      <c r="Z930" s="22"/>
      <c r="AA930" s="22"/>
      <c r="AB930" s="22"/>
      <c r="AC930" s="22"/>
      <c r="AD930" s="22"/>
      <c r="AE930" s="22"/>
      <c r="AF930" s="22"/>
      <c r="AG930" s="22"/>
      <c r="AH930" s="22"/>
      <c r="AI930" s="22"/>
      <c r="AJ930" s="22"/>
      <c r="AK930" s="22"/>
      <c r="AL930" s="22"/>
      <c r="AM930" s="22"/>
      <c r="AN930" s="22"/>
      <c r="AO930" s="22"/>
      <c r="AP930" s="22"/>
      <c r="AQ930" s="22"/>
    </row>
    <row r="931" spans="1:43"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2"/>
      <c r="Y931" s="22"/>
      <c r="Z931" s="22"/>
      <c r="AA931" s="22"/>
      <c r="AB931" s="22"/>
      <c r="AC931" s="22"/>
      <c r="AD931" s="22"/>
      <c r="AE931" s="22"/>
      <c r="AF931" s="22"/>
      <c r="AG931" s="22"/>
      <c r="AH931" s="22"/>
      <c r="AI931" s="22"/>
      <c r="AJ931" s="22"/>
      <c r="AK931" s="22"/>
      <c r="AL931" s="22"/>
      <c r="AM931" s="22"/>
      <c r="AN931" s="22"/>
      <c r="AO931" s="22"/>
      <c r="AP931" s="22"/>
      <c r="AQ931" s="22"/>
    </row>
    <row r="932" spans="1:43"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2"/>
      <c r="Y932" s="22"/>
      <c r="Z932" s="22"/>
      <c r="AA932" s="22"/>
      <c r="AB932" s="22"/>
      <c r="AC932" s="22"/>
      <c r="AD932" s="22"/>
      <c r="AE932" s="22"/>
      <c r="AF932" s="22"/>
      <c r="AG932" s="22"/>
      <c r="AH932" s="22"/>
      <c r="AI932" s="22"/>
      <c r="AJ932" s="22"/>
      <c r="AK932" s="22"/>
      <c r="AL932" s="22"/>
      <c r="AM932" s="22"/>
      <c r="AN932" s="22"/>
      <c r="AO932" s="22"/>
      <c r="AP932" s="22"/>
      <c r="AQ932" s="22"/>
    </row>
    <row r="933" spans="1:43"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2"/>
      <c r="Y933" s="22"/>
      <c r="Z933" s="22"/>
      <c r="AA933" s="22"/>
      <c r="AB933" s="22"/>
      <c r="AC933" s="22"/>
      <c r="AD933" s="22"/>
      <c r="AE933" s="22"/>
      <c r="AF933" s="22"/>
      <c r="AG933" s="22"/>
      <c r="AH933" s="22"/>
      <c r="AI933" s="22"/>
      <c r="AJ933" s="22"/>
      <c r="AK933" s="22"/>
      <c r="AL933" s="22"/>
      <c r="AM933" s="22"/>
      <c r="AN933" s="22"/>
      <c r="AO933" s="22"/>
      <c r="AP933" s="22"/>
      <c r="AQ933" s="22"/>
    </row>
    <row r="934" spans="1:43"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2"/>
      <c r="Y934" s="22"/>
      <c r="Z934" s="22"/>
      <c r="AA934" s="22"/>
      <c r="AB934" s="22"/>
      <c r="AC934" s="22"/>
      <c r="AD934" s="22"/>
      <c r="AE934" s="22"/>
      <c r="AF934" s="22"/>
      <c r="AG934" s="22"/>
      <c r="AH934" s="22"/>
      <c r="AI934" s="22"/>
      <c r="AJ934" s="22"/>
      <c r="AK934" s="22"/>
      <c r="AL934" s="22"/>
      <c r="AM934" s="22"/>
      <c r="AN934" s="22"/>
      <c r="AO934" s="22"/>
      <c r="AP934" s="22"/>
      <c r="AQ934" s="22"/>
    </row>
    <row r="935" spans="1:43"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2"/>
      <c r="Y935" s="22"/>
      <c r="Z935" s="22"/>
      <c r="AA935" s="22"/>
      <c r="AB935" s="22"/>
      <c r="AC935" s="22"/>
      <c r="AD935" s="22"/>
      <c r="AE935" s="22"/>
      <c r="AF935" s="22"/>
      <c r="AG935" s="22"/>
      <c r="AH935" s="22"/>
      <c r="AI935" s="22"/>
      <c r="AJ935" s="22"/>
      <c r="AK935" s="22"/>
      <c r="AL935" s="22"/>
      <c r="AM935" s="22"/>
      <c r="AN935" s="22"/>
      <c r="AO935" s="22"/>
      <c r="AP935" s="22"/>
      <c r="AQ935" s="22"/>
    </row>
    <row r="936" spans="1:43"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2"/>
      <c r="Y936" s="22"/>
      <c r="Z936" s="22"/>
      <c r="AA936" s="22"/>
      <c r="AB936" s="22"/>
      <c r="AC936" s="22"/>
      <c r="AD936" s="22"/>
      <c r="AE936" s="22"/>
      <c r="AF936" s="22"/>
      <c r="AG936" s="22"/>
      <c r="AH936" s="22"/>
      <c r="AI936" s="22"/>
      <c r="AJ936" s="22"/>
      <c r="AK936" s="22"/>
      <c r="AL936" s="22"/>
      <c r="AM936" s="22"/>
      <c r="AN936" s="22"/>
      <c r="AO936" s="22"/>
      <c r="AP936" s="22"/>
      <c r="AQ936" s="22"/>
    </row>
    <row r="937" spans="1:43"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2"/>
      <c r="Y937" s="22"/>
      <c r="Z937" s="22"/>
      <c r="AA937" s="22"/>
      <c r="AB937" s="22"/>
      <c r="AC937" s="22"/>
      <c r="AD937" s="22"/>
      <c r="AE937" s="22"/>
      <c r="AF937" s="22"/>
      <c r="AG937" s="22"/>
      <c r="AH937" s="22"/>
      <c r="AI937" s="22"/>
      <c r="AJ937" s="22"/>
      <c r="AK937" s="22"/>
      <c r="AL937" s="22"/>
      <c r="AM937" s="22"/>
      <c r="AN937" s="22"/>
      <c r="AO937" s="22"/>
      <c r="AP937" s="22"/>
      <c r="AQ937" s="22"/>
    </row>
    <row r="938" spans="1:43"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2"/>
      <c r="Y938" s="22"/>
      <c r="Z938" s="22"/>
      <c r="AA938" s="22"/>
      <c r="AB938" s="22"/>
      <c r="AC938" s="22"/>
      <c r="AD938" s="22"/>
      <c r="AE938" s="22"/>
      <c r="AF938" s="22"/>
      <c r="AG938" s="22"/>
      <c r="AH938" s="22"/>
      <c r="AI938" s="22"/>
      <c r="AJ938" s="22"/>
      <c r="AK938" s="22"/>
      <c r="AL938" s="22"/>
      <c r="AM938" s="22"/>
      <c r="AN938" s="22"/>
      <c r="AO938" s="22"/>
      <c r="AP938" s="22"/>
      <c r="AQ938" s="22"/>
    </row>
    <row r="939" spans="1:43"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2"/>
      <c r="Y939" s="22"/>
      <c r="Z939" s="22"/>
      <c r="AA939" s="22"/>
      <c r="AB939" s="22"/>
      <c r="AC939" s="22"/>
      <c r="AD939" s="22"/>
      <c r="AE939" s="22"/>
      <c r="AF939" s="22"/>
      <c r="AG939" s="22"/>
      <c r="AH939" s="22"/>
      <c r="AI939" s="22"/>
      <c r="AJ939" s="22"/>
      <c r="AK939" s="22"/>
      <c r="AL939" s="22"/>
      <c r="AM939" s="22"/>
      <c r="AN939" s="22"/>
      <c r="AO939" s="22"/>
      <c r="AP939" s="22"/>
      <c r="AQ939" s="22"/>
    </row>
    <row r="940" spans="1:43"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2"/>
      <c r="Y940" s="22"/>
      <c r="Z940" s="22"/>
      <c r="AA940" s="22"/>
      <c r="AB940" s="22"/>
      <c r="AC940" s="22"/>
      <c r="AD940" s="22"/>
      <c r="AE940" s="22"/>
      <c r="AF940" s="22"/>
      <c r="AG940" s="22"/>
      <c r="AH940" s="22"/>
      <c r="AI940" s="22"/>
      <c r="AJ940" s="22"/>
      <c r="AK940" s="22"/>
      <c r="AL940" s="22"/>
      <c r="AM940" s="22"/>
      <c r="AN940" s="22"/>
      <c r="AO940" s="22"/>
      <c r="AP940" s="22"/>
      <c r="AQ940" s="22"/>
    </row>
    <row r="941" spans="1:43"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2"/>
      <c r="Y941" s="22"/>
      <c r="Z941" s="22"/>
      <c r="AA941" s="22"/>
      <c r="AB941" s="22"/>
      <c r="AC941" s="22"/>
      <c r="AD941" s="22"/>
      <c r="AE941" s="22"/>
      <c r="AF941" s="22"/>
      <c r="AG941" s="22"/>
      <c r="AH941" s="22"/>
      <c r="AI941" s="22"/>
      <c r="AJ941" s="22"/>
      <c r="AK941" s="22"/>
      <c r="AL941" s="22"/>
      <c r="AM941" s="22"/>
      <c r="AN941" s="22"/>
      <c r="AO941" s="22"/>
      <c r="AP941" s="22"/>
      <c r="AQ941" s="22"/>
    </row>
    <row r="942" spans="1:43"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2"/>
      <c r="Y942" s="22"/>
      <c r="Z942" s="22"/>
      <c r="AA942" s="22"/>
      <c r="AB942" s="22"/>
      <c r="AC942" s="22"/>
      <c r="AD942" s="22"/>
      <c r="AE942" s="22"/>
      <c r="AF942" s="22"/>
      <c r="AG942" s="22"/>
      <c r="AH942" s="22"/>
      <c r="AI942" s="22"/>
      <c r="AJ942" s="22"/>
      <c r="AK942" s="22"/>
      <c r="AL942" s="22"/>
      <c r="AM942" s="22"/>
      <c r="AN942" s="22"/>
      <c r="AO942" s="22"/>
      <c r="AP942" s="22"/>
      <c r="AQ942" s="22"/>
    </row>
    <row r="943" spans="1:43"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2"/>
      <c r="Y943" s="22"/>
      <c r="Z943" s="22"/>
      <c r="AA943" s="22"/>
      <c r="AB943" s="22"/>
      <c r="AC943" s="22"/>
      <c r="AD943" s="22"/>
      <c r="AE943" s="22"/>
      <c r="AF943" s="22"/>
      <c r="AG943" s="22"/>
      <c r="AH943" s="22"/>
      <c r="AI943" s="22"/>
      <c r="AJ943" s="22"/>
      <c r="AK943" s="22"/>
      <c r="AL943" s="22"/>
      <c r="AM943" s="22"/>
      <c r="AN943" s="22"/>
      <c r="AO943" s="22"/>
      <c r="AP943" s="22"/>
      <c r="AQ943" s="22"/>
    </row>
    <row r="944" spans="1:43"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2"/>
      <c r="Y944" s="22"/>
      <c r="Z944" s="22"/>
      <c r="AA944" s="22"/>
      <c r="AB944" s="22"/>
      <c r="AC944" s="22"/>
      <c r="AD944" s="22"/>
      <c r="AE944" s="22"/>
      <c r="AF944" s="22"/>
      <c r="AG944" s="22"/>
      <c r="AH944" s="22"/>
      <c r="AI944" s="22"/>
      <c r="AJ944" s="22"/>
      <c r="AK944" s="22"/>
      <c r="AL944" s="22"/>
      <c r="AM944" s="22"/>
      <c r="AN944" s="22"/>
      <c r="AO944" s="22"/>
      <c r="AP944" s="22"/>
      <c r="AQ944" s="22"/>
    </row>
    <row r="945" spans="1:43"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2"/>
      <c r="Y945" s="22"/>
      <c r="Z945" s="22"/>
      <c r="AA945" s="22"/>
      <c r="AB945" s="22"/>
      <c r="AC945" s="22"/>
      <c r="AD945" s="22"/>
      <c r="AE945" s="22"/>
      <c r="AF945" s="22"/>
      <c r="AG945" s="22"/>
      <c r="AH945" s="22"/>
      <c r="AI945" s="22"/>
      <c r="AJ945" s="22"/>
      <c r="AK945" s="22"/>
      <c r="AL945" s="22"/>
      <c r="AM945" s="22"/>
      <c r="AN945" s="22"/>
      <c r="AO945" s="22"/>
      <c r="AP945" s="22"/>
      <c r="AQ945" s="22"/>
    </row>
    <row r="946" spans="1:43"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2"/>
      <c r="Y946" s="22"/>
      <c r="Z946" s="22"/>
      <c r="AA946" s="22"/>
      <c r="AB946" s="22"/>
      <c r="AC946" s="22"/>
      <c r="AD946" s="22"/>
      <c r="AE946" s="22"/>
      <c r="AF946" s="22"/>
      <c r="AG946" s="22"/>
      <c r="AH946" s="22"/>
      <c r="AI946" s="22"/>
      <c r="AJ946" s="22"/>
      <c r="AK946" s="22"/>
      <c r="AL946" s="22"/>
      <c r="AM946" s="22"/>
      <c r="AN946" s="22"/>
      <c r="AO946" s="22"/>
      <c r="AP946" s="22"/>
      <c r="AQ946" s="22"/>
    </row>
    <row r="947" spans="1:43"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2"/>
      <c r="Y947" s="22"/>
      <c r="Z947" s="22"/>
      <c r="AA947" s="22"/>
      <c r="AB947" s="22"/>
      <c r="AC947" s="22"/>
      <c r="AD947" s="22"/>
      <c r="AE947" s="22"/>
      <c r="AF947" s="22"/>
      <c r="AG947" s="22"/>
      <c r="AH947" s="22"/>
      <c r="AI947" s="22"/>
      <c r="AJ947" s="22"/>
      <c r="AK947" s="22"/>
      <c r="AL947" s="22"/>
      <c r="AM947" s="22"/>
      <c r="AN947" s="22"/>
      <c r="AO947" s="22"/>
      <c r="AP947" s="22"/>
      <c r="AQ947" s="22"/>
    </row>
    <row r="948" spans="1:43"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2"/>
      <c r="Y948" s="22"/>
      <c r="Z948" s="22"/>
      <c r="AA948" s="22"/>
      <c r="AB948" s="22"/>
      <c r="AC948" s="22"/>
      <c r="AD948" s="22"/>
      <c r="AE948" s="22"/>
      <c r="AF948" s="22"/>
      <c r="AG948" s="22"/>
      <c r="AH948" s="22"/>
      <c r="AI948" s="22"/>
      <c r="AJ948" s="22"/>
      <c r="AK948" s="22"/>
      <c r="AL948" s="22"/>
      <c r="AM948" s="22"/>
      <c r="AN948" s="22"/>
      <c r="AO948" s="22"/>
      <c r="AP948" s="22"/>
      <c r="AQ948" s="22"/>
    </row>
    <row r="949" spans="1:43"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2"/>
      <c r="Y949" s="22"/>
      <c r="Z949" s="22"/>
      <c r="AA949" s="22"/>
      <c r="AB949" s="22"/>
      <c r="AC949" s="22"/>
      <c r="AD949" s="22"/>
      <c r="AE949" s="22"/>
      <c r="AF949" s="22"/>
      <c r="AG949" s="22"/>
      <c r="AH949" s="22"/>
      <c r="AI949" s="22"/>
      <c r="AJ949" s="22"/>
      <c r="AK949" s="22"/>
      <c r="AL949" s="22"/>
      <c r="AM949" s="22"/>
      <c r="AN949" s="22"/>
      <c r="AO949" s="22"/>
      <c r="AP949" s="22"/>
      <c r="AQ949" s="22"/>
    </row>
    <row r="950" spans="1:43"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2"/>
      <c r="Y950" s="22"/>
      <c r="Z950" s="22"/>
      <c r="AA950" s="22"/>
      <c r="AB950" s="22"/>
      <c r="AC950" s="22"/>
      <c r="AD950" s="22"/>
      <c r="AE950" s="22"/>
      <c r="AF950" s="22"/>
      <c r="AG950" s="22"/>
      <c r="AH950" s="22"/>
      <c r="AI950" s="22"/>
      <c r="AJ950" s="22"/>
      <c r="AK950" s="22"/>
      <c r="AL950" s="22"/>
      <c r="AM950" s="22"/>
      <c r="AN950" s="22"/>
      <c r="AO950" s="22"/>
      <c r="AP950" s="22"/>
      <c r="AQ950" s="22"/>
    </row>
    <row r="951" spans="1:43"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2"/>
      <c r="Y951" s="22"/>
      <c r="Z951" s="22"/>
      <c r="AA951" s="22"/>
      <c r="AB951" s="22"/>
      <c r="AC951" s="22"/>
      <c r="AD951" s="22"/>
      <c r="AE951" s="22"/>
      <c r="AF951" s="22"/>
      <c r="AG951" s="22"/>
      <c r="AH951" s="22"/>
      <c r="AI951" s="22"/>
      <c r="AJ951" s="22"/>
      <c r="AK951" s="22"/>
      <c r="AL951" s="22"/>
      <c r="AM951" s="22"/>
      <c r="AN951" s="22"/>
      <c r="AO951" s="22"/>
      <c r="AP951" s="22"/>
      <c r="AQ951" s="22"/>
    </row>
    <row r="952" spans="1:43"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2"/>
      <c r="Y952" s="22"/>
      <c r="Z952" s="22"/>
      <c r="AA952" s="22"/>
      <c r="AB952" s="22"/>
      <c r="AC952" s="22"/>
      <c r="AD952" s="22"/>
      <c r="AE952" s="22"/>
      <c r="AF952" s="22"/>
      <c r="AG952" s="22"/>
      <c r="AH952" s="22"/>
      <c r="AI952" s="22"/>
      <c r="AJ952" s="22"/>
      <c r="AK952" s="22"/>
      <c r="AL952" s="22"/>
      <c r="AM952" s="22"/>
      <c r="AN952" s="22"/>
      <c r="AO952" s="22"/>
      <c r="AP952" s="22"/>
      <c r="AQ952" s="22"/>
    </row>
    <row r="953" spans="1:43"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2"/>
      <c r="Y953" s="22"/>
      <c r="Z953" s="22"/>
      <c r="AA953" s="22"/>
      <c r="AB953" s="22"/>
      <c r="AC953" s="22"/>
      <c r="AD953" s="22"/>
      <c r="AE953" s="22"/>
      <c r="AF953" s="22"/>
      <c r="AG953" s="22"/>
      <c r="AH953" s="22"/>
      <c r="AI953" s="22"/>
      <c r="AJ953" s="22"/>
      <c r="AK953" s="22"/>
      <c r="AL953" s="22"/>
      <c r="AM953" s="22"/>
      <c r="AN953" s="22"/>
      <c r="AO953" s="22"/>
      <c r="AP953" s="22"/>
      <c r="AQ953" s="22"/>
    </row>
    <row r="954" spans="1:43"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2"/>
      <c r="Y954" s="22"/>
      <c r="Z954" s="22"/>
      <c r="AA954" s="22"/>
      <c r="AB954" s="22"/>
      <c r="AC954" s="22"/>
      <c r="AD954" s="22"/>
      <c r="AE954" s="22"/>
      <c r="AF954" s="22"/>
      <c r="AG954" s="22"/>
      <c r="AH954" s="22"/>
      <c r="AI954" s="22"/>
      <c r="AJ954" s="22"/>
      <c r="AK954" s="22"/>
      <c r="AL954" s="22"/>
      <c r="AM954" s="22"/>
      <c r="AN954" s="22"/>
      <c r="AO954" s="22"/>
      <c r="AP954" s="22"/>
      <c r="AQ954" s="22"/>
    </row>
    <row r="955" spans="1:43"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2"/>
      <c r="Y955" s="22"/>
      <c r="Z955" s="22"/>
      <c r="AA955" s="22"/>
      <c r="AB955" s="22"/>
      <c r="AC955" s="22"/>
      <c r="AD955" s="22"/>
      <c r="AE955" s="22"/>
      <c r="AF955" s="22"/>
      <c r="AG955" s="22"/>
      <c r="AH955" s="22"/>
      <c r="AI955" s="22"/>
      <c r="AJ955" s="22"/>
      <c r="AK955" s="22"/>
      <c r="AL955" s="22"/>
      <c r="AM955" s="22"/>
      <c r="AN955" s="22"/>
      <c r="AO955" s="22"/>
      <c r="AP955" s="22"/>
      <c r="AQ955" s="22"/>
    </row>
    <row r="956" spans="1:43"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2"/>
      <c r="Y956" s="22"/>
      <c r="Z956" s="22"/>
      <c r="AA956" s="22"/>
      <c r="AB956" s="22"/>
      <c r="AC956" s="22"/>
      <c r="AD956" s="22"/>
      <c r="AE956" s="22"/>
      <c r="AF956" s="22"/>
      <c r="AG956" s="22"/>
      <c r="AH956" s="22"/>
      <c r="AI956" s="22"/>
      <c r="AJ956" s="22"/>
      <c r="AK956" s="22"/>
      <c r="AL956" s="22"/>
      <c r="AM956" s="22"/>
      <c r="AN956" s="22"/>
      <c r="AO956" s="22"/>
      <c r="AP956" s="22"/>
      <c r="AQ956" s="22"/>
    </row>
    <row r="957" spans="1:43"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2"/>
      <c r="Y957" s="22"/>
      <c r="Z957" s="22"/>
      <c r="AA957" s="22"/>
      <c r="AB957" s="22"/>
      <c r="AC957" s="22"/>
      <c r="AD957" s="22"/>
      <c r="AE957" s="22"/>
      <c r="AF957" s="22"/>
      <c r="AG957" s="22"/>
      <c r="AH957" s="22"/>
      <c r="AI957" s="22"/>
      <c r="AJ957" s="22"/>
      <c r="AK957" s="22"/>
      <c r="AL957" s="22"/>
      <c r="AM957" s="22"/>
      <c r="AN957" s="22"/>
      <c r="AO957" s="22"/>
      <c r="AP957" s="22"/>
      <c r="AQ957" s="22"/>
    </row>
    <row r="958" spans="1:43"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2"/>
      <c r="Y958" s="22"/>
      <c r="Z958" s="22"/>
      <c r="AA958" s="22"/>
      <c r="AB958" s="22"/>
      <c r="AC958" s="22"/>
      <c r="AD958" s="22"/>
      <c r="AE958" s="22"/>
      <c r="AF958" s="22"/>
      <c r="AG958" s="22"/>
      <c r="AH958" s="22"/>
      <c r="AI958" s="22"/>
      <c r="AJ958" s="22"/>
      <c r="AK958" s="22"/>
      <c r="AL958" s="22"/>
      <c r="AM958" s="22"/>
      <c r="AN958" s="22"/>
      <c r="AO958" s="22"/>
      <c r="AP958" s="22"/>
      <c r="AQ958" s="22"/>
    </row>
    <row r="959" spans="1:43"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2"/>
      <c r="Y959" s="22"/>
      <c r="Z959" s="22"/>
      <c r="AA959" s="22"/>
      <c r="AB959" s="22"/>
      <c r="AC959" s="22"/>
      <c r="AD959" s="22"/>
      <c r="AE959" s="22"/>
      <c r="AF959" s="22"/>
      <c r="AG959" s="22"/>
      <c r="AH959" s="22"/>
      <c r="AI959" s="22"/>
      <c r="AJ959" s="22"/>
      <c r="AK959" s="22"/>
      <c r="AL959" s="22"/>
      <c r="AM959" s="22"/>
      <c r="AN959" s="22"/>
      <c r="AO959" s="22"/>
      <c r="AP959" s="22"/>
      <c r="AQ959" s="22"/>
    </row>
    <row r="960" spans="1:43"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2"/>
      <c r="Y960" s="22"/>
      <c r="Z960" s="22"/>
      <c r="AA960" s="22"/>
      <c r="AB960" s="22"/>
      <c r="AC960" s="22"/>
      <c r="AD960" s="22"/>
      <c r="AE960" s="22"/>
      <c r="AF960" s="22"/>
      <c r="AG960" s="22"/>
      <c r="AH960" s="22"/>
      <c r="AI960" s="22"/>
      <c r="AJ960" s="22"/>
      <c r="AK960" s="22"/>
      <c r="AL960" s="22"/>
      <c r="AM960" s="22"/>
      <c r="AN960" s="22"/>
      <c r="AO960" s="22"/>
      <c r="AP960" s="22"/>
      <c r="AQ960" s="22"/>
    </row>
    <row r="961" spans="1:43"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2"/>
      <c r="Y961" s="22"/>
      <c r="Z961" s="22"/>
      <c r="AA961" s="22"/>
      <c r="AB961" s="22"/>
      <c r="AC961" s="22"/>
      <c r="AD961" s="22"/>
      <c r="AE961" s="22"/>
      <c r="AF961" s="22"/>
      <c r="AG961" s="22"/>
      <c r="AH961" s="22"/>
      <c r="AI961" s="22"/>
      <c r="AJ961" s="22"/>
      <c r="AK961" s="22"/>
      <c r="AL961" s="22"/>
      <c r="AM961" s="22"/>
      <c r="AN961" s="22"/>
      <c r="AO961" s="22"/>
      <c r="AP961" s="22"/>
      <c r="AQ961" s="22"/>
    </row>
    <row r="962" spans="1:43"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2"/>
      <c r="Y962" s="22"/>
      <c r="Z962" s="22"/>
      <c r="AA962" s="22"/>
      <c r="AB962" s="22"/>
      <c r="AC962" s="22"/>
      <c r="AD962" s="22"/>
      <c r="AE962" s="22"/>
      <c r="AF962" s="22"/>
      <c r="AG962" s="22"/>
      <c r="AH962" s="22"/>
      <c r="AI962" s="22"/>
      <c r="AJ962" s="22"/>
      <c r="AK962" s="22"/>
      <c r="AL962" s="22"/>
      <c r="AM962" s="22"/>
      <c r="AN962" s="22"/>
      <c r="AO962" s="22"/>
      <c r="AP962" s="22"/>
      <c r="AQ962" s="22"/>
    </row>
    <row r="963" spans="1:43"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2"/>
      <c r="Y963" s="22"/>
      <c r="Z963" s="22"/>
      <c r="AA963" s="22"/>
      <c r="AB963" s="22"/>
      <c r="AC963" s="22"/>
      <c r="AD963" s="22"/>
      <c r="AE963" s="22"/>
      <c r="AF963" s="22"/>
      <c r="AG963" s="22"/>
      <c r="AH963" s="22"/>
      <c r="AI963" s="22"/>
      <c r="AJ963" s="22"/>
      <c r="AK963" s="22"/>
      <c r="AL963" s="22"/>
      <c r="AM963" s="22"/>
      <c r="AN963" s="22"/>
      <c r="AO963" s="22"/>
      <c r="AP963" s="22"/>
      <c r="AQ963" s="22"/>
    </row>
    <row r="964" spans="1:43"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2"/>
      <c r="Y964" s="22"/>
      <c r="Z964" s="22"/>
      <c r="AA964" s="22"/>
      <c r="AB964" s="22"/>
      <c r="AC964" s="22"/>
      <c r="AD964" s="22"/>
      <c r="AE964" s="22"/>
      <c r="AF964" s="22"/>
      <c r="AG964" s="22"/>
      <c r="AH964" s="22"/>
      <c r="AI964" s="22"/>
      <c r="AJ964" s="22"/>
      <c r="AK964" s="22"/>
      <c r="AL964" s="22"/>
      <c r="AM964" s="22"/>
      <c r="AN964" s="22"/>
      <c r="AO964" s="22"/>
      <c r="AP964" s="22"/>
      <c r="AQ964" s="22"/>
    </row>
    <row r="965" spans="1:43"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2"/>
      <c r="Y965" s="22"/>
      <c r="Z965" s="22"/>
      <c r="AA965" s="22"/>
      <c r="AB965" s="22"/>
      <c r="AC965" s="22"/>
      <c r="AD965" s="22"/>
      <c r="AE965" s="22"/>
      <c r="AF965" s="22"/>
      <c r="AG965" s="22"/>
      <c r="AH965" s="22"/>
      <c r="AI965" s="22"/>
      <c r="AJ965" s="22"/>
      <c r="AK965" s="22"/>
      <c r="AL965" s="22"/>
      <c r="AM965" s="22"/>
      <c r="AN965" s="22"/>
      <c r="AO965" s="22"/>
      <c r="AP965" s="22"/>
      <c r="AQ965" s="22"/>
    </row>
    <row r="966" spans="1:43"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2"/>
      <c r="Y966" s="22"/>
      <c r="Z966" s="22"/>
      <c r="AA966" s="22"/>
      <c r="AB966" s="22"/>
      <c r="AC966" s="22"/>
      <c r="AD966" s="22"/>
      <c r="AE966" s="22"/>
      <c r="AF966" s="22"/>
      <c r="AG966" s="22"/>
      <c r="AH966" s="22"/>
      <c r="AI966" s="22"/>
      <c r="AJ966" s="22"/>
      <c r="AK966" s="22"/>
      <c r="AL966" s="22"/>
      <c r="AM966" s="22"/>
      <c r="AN966" s="22"/>
      <c r="AO966" s="22"/>
      <c r="AP966" s="22"/>
      <c r="AQ966" s="22"/>
    </row>
    <row r="967" spans="1:43"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2"/>
      <c r="Y967" s="22"/>
      <c r="Z967" s="22"/>
      <c r="AA967" s="22"/>
      <c r="AB967" s="22"/>
      <c r="AC967" s="22"/>
      <c r="AD967" s="22"/>
      <c r="AE967" s="22"/>
      <c r="AF967" s="22"/>
      <c r="AG967" s="22"/>
      <c r="AH967" s="22"/>
      <c r="AI967" s="22"/>
      <c r="AJ967" s="22"/>
      <c r="AK967" s="22"/>
      <c r="AL967" s="22"/>
      <c r="AM967" s="22"/>
      <c r="AN967" s="22"/>
      <c r="AO967" s="22"/>
      <c r="AP967" s="22"/>
      <c r="AQ967" s="22"/>
    </row>
    <row r="968" spans="1:43"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2"/>
      <c r="Y968" s="22"/>
      <c r="Z968" s="22"/>
      <c r="AA968" s="22"/>
      <c r="AB968" s="22"/>
      <c r="AC968" s="22"/>
      <c r="AD968" s="22"/>
      <c r="AE968" s="22"/>
      <c r="AF968" s="22"/>
      <c r="AG968" s="22"/>
      <c r="AH968" s="22"/>
      <c r="AI968" s="22"/>
      <c r="AJ968" s="22"/>
      <c r="AK968" s="22"/>
      <c r="AL968" s="22"/>
      <c r="AM968" s="22"/>
      <c r="AN968" s="22"/>
      <c r="AO968" s="22"/>
      <c r="AP968" s="22"/>
      <c r="AQ968" s="22"/>
    </row>
    <row r="969" spans="1:43"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2"/>
      <c r="Y969" s="22"/>
      <c r="Z969" s="22"/>
      <c r="AA969" s="22"/>
      <c r="AB969" s="22"/>
      <c r="AC969" s="22"/>
      <c r="AD969" s="22"/>
      <c r="AE969" s="22"/>
      <c r="AF969" s="22"/>
      <c r="AG969" s="22"/>
      <c r="AH969" s="22"/>
      <c r="AI969" s="22"/>
      <c r="AJ969" s="22"/>
      <c r="AK969" s="22"/>
      <c r="AL969" s="22"/>
      <c r="AM969" s="22"/>
      <c r="AN969" s="22"/>
      <c r="AO969" s="22"/>
      <c r="AP969" s="22"/>
      <c r="AQ969" s="22"/>
    </row>
    <row r="970" spans="1:43"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2"/>
      <c r="Y970" s="22"/>
      <c r="Z970" s="22"/>
      <c r="AA970" s="22"/>
      <c r="AB970" s="22"/>
      <c r="AC970" s="22"/>
      <c r="AD970" s="22"/>
      <c r="AE970" s="22"/>
      <c r="AF970" s="22"/>
      <c r="AG970" s="22"/>
      <c r="AH970" s="22"/>
      <c r="AI970" s="22"/>
      <c r="AJ970" s="22"/>
      <c r="AK970" s="22"/>
      <c r="AL970" s="22"/>
      <c r="AM970" s="22"/>
      <c r="AN970" s="22"/>
      <c r="AO970" s="22"/>
      <c r="AP970" s="22"/>
      <c r="AQ970" s="22"/>
    </row>
    <row r="971" spans="1:43"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2"/>
      <c r="Y971" s="22"/>
      <c r="Z971" s="22"/>
      <c r="AA971" s="22"/>
      <c r="AB971" s="22"/>
      <c r="AC971" s="22"/>
      <c r="AD971" s="22"/>
      <c r="AE971" s="22"/>
      <c r="AF971" s="22"/>
      <c r="AG971" s="22"/>
      <c r="AH971" s="22"/>
      <c r="AI971" s="22"/>
      <c r="AJ971" s="22"/>
      <c r="AK971" s="22"/>
      <c r="AL971" s="22"/>
      <c r="AM971" s="22"/>
      <c r="AN971" s="22"/>
      <c r="AO971" s="22"/>
      <c r="AP971" s="22"/>
      <c r="AQ971" s="22"/>
    </row>
    <row r="972" spans="1:43"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2"/>
      <c r="Y972" s="22"/>
      <c r="Z972" s="22"/>
      <c r="AA972" s="22"/>
      <c r="AB972" s="22"/>
      <c r="AC972" s="22"/>
      <c r="AD972" s="22"/>
      <c r="AE972" s="22"/>
      <c r="AF972" s="22"/>
      <c r="AG972" s="22"/>
      <c r="AH972" s="22"/>
      <c r="AI972" s="22"/>
      <c r="AJ972" s="22"/>
      <c r="AK972" s="22"/>
      <c r="AL972" s="22"/>
      <c r="AM972" s="22"/>
      <c r="AN972" s="22"/>
      <c r="AO972" s="22"/>
      <c r="AP972" s="22"/>
      <c r="AQ972" s="22"/>
    </row>
    <row r="973" spans="1:43"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2"/>
      <c r="Y973" s="22"/>
      <c r="Z973" s="22"/>
      <c r="AA973" s="22"/>
      <c r="AB973" s="22"/>
      <c r="AC973" s="22"/>
      <c r="AD973" s="22"/>
      <c r="AE973" s="22"/>
      <c r="AF973" s="22"/>
      <c r="AG973" s="22"/>
      <c r="AH973" s="22"/>
      <c r="AI973" s="22"/>
      <c r="AJ973" s="22"/>
      <c r="AK973" s="22"/>
      <c r="AL973" s="22"/>
      <c r="AM973" s="22"/>
      <c r="AN973" s="22"/>
      <c r="AO973" s="22"/>
      <c r="AP973" s="22"/>
      <c r="AQ973" s="22"/>
    </row>
    <row r="974" spans="1:43"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2"/>
      <c r="Y974" s="22"/>
      <c r="Z974" s="22"/>
      <c r="AA974" s="22"/>
      <c r="AB974" s="22"/>
      <c r="AC974" s="22"/>
      <c r="AD974" s="22"/>
      <c r="AE974" s="22"/>
      <c r="AF974" s="22"/>
      <c r="AG974" s="22"/>
      <c r="AH974" s="22"/>
      <c r="AI974" s="22"/>
      <c r="AJ974" s="22"/>
      <c r="AK974" s="22"/>
      <c r="AL974" s="22"/>
      <c r="AM974" s="22"/>
      <c r="AN974" s="22"/>
      <c r="AO974" s="22"/>
      <c r="AP974" s="22"/>
      <c r="AQ974" s="22"/>
    </row>
    <row r="975" spans="1:43"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2"/>
      <c r="Y975" s="22"/>
      <c r="Z975" s="22"/>
      <c r="AA975" s="22"/>
      <c r="AB975" s="22"/>
      <c r="AC975" s="22"/>
      <c r="AD975" s="22"/>
      <c r="AE975" s="22"/>
      <c r="AF975" s="22"/>
      <c r="AG975" s="22"/>
      <c r="AH975" s="22"/>
      <c r="AI975" s="22"/>
      <c r="AJ975" s="22"/>
      <c r="AK975" s="22"/>
      <c r="AL975" s="22"/>
      <c r="AM975" s="22"/>
      <c r="AN975" s="22"/>
      <c r="AO975" s="22"/>
      <c r="AP975" s="22"/>
      <c r="AQ975" s="22"/>
    </row>
    <row r="976" spans="1:43"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2"/>
      <c r="Y976" s="22"/>
      <c r="Z976" s="22"/>
      <c r="AA976" s="22"/>
      <c r="AB976" s="22"/>
      <c r="AC976" s="22"/>
      <c r="AD976" s="22"/>
      <c r="AE976" s="22"/>
      <c r="AF976" s="22"/>
      <c r="AG976" s="22"/>
      <c r="AH976" s="22"/>
      <c r="AI976" s="22"/>
      <c r="AJ976" s="22"/>
      <c r="AK976" s="22"/>
      <c r="AL976" s="22"/>
      <c r="AM976" s="22"/>
      <c r="AN976" s="22"/>
      <c r="AO976" s="22"/>
      <c r="AP976" s="22"/>
      <c r="AQ976" s="22"/>
    </row>
    <row r="977" spans="1:43"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2"/>
      <c r="Y977" s="22"/>
      <c r="Z977" s="22"/>
      <c r="AA977" s="22"/>
      <c r="AB977" s="22"/>
      <c r="AC977" s="22"/>
      <c r="AD977" s="22"/>
      <c r="AE977" s="22"/>
      <c r="AF977" s="22"/>
      <c r="AG977" s="22"/>
      <c r="AH977" s="22"/>
      <c r="AI977" s="22"/>
      <c r="AJ977" s="22"/>
      <c r="AK977" s="22"/>
      <c r="AL977" s="22"/>
      <c r="AM977" s="22"/>
      <c r="AN977" s="22"/>
      <c r="AO977" s="22"/>
      <c r="AP977" s="22"/>
      <c r="AQ977" s="22"/>
    </row>
    <row r="978" spans="1:43"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2"/>
      <c r="Y978" s="22"/>
      <c r="Z978" s="22"/>
      <c r="AA978" s="22"/>
      <c r="AB978" s="22"/>
      <c r="AC978" s="22"/>
      <c r="AD978" s="22"/>
      <c r="AE978" s="22"/>
      <c r="AF978" s="22"/>
      <c r="AG978" s="22"/>
      <c r="AH978" s="22"/>
      <c r="AI978" s="22"/>
      <c r="AJ978" s="22"/>
      <c r="AK978" s="22"/>
      <c r="AL978" s="22"/>
      <c r="AM978" s="22"/>
      <c r="AN978" s="22"/>
      <c r="AO978" s="22"/>
      <c r="AP978" s="22"/>
      <c r="AQ978" s="22"/>
    </row>
    <row r="979" spans="1:43"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2"/>
      <c r="Y979" s="22"/>
      <c r="Z979" s="22"/>
      <c r="AA979" s="22"/>
      <c r="AB979" s="22"/>
      <c r="AC979" s="22"/>
      <c r="AD979" s="22"/>
      <c r="AE979" s="22"/>
      <c r="AF979" s="22"/>
      <c r="AG979" s="22"/>
      <c r="AH979" s="22"/>
      <c r="AI979" s="22"/>
      <c r="AJ979" s="22"/>
      <c r="AK979" s="22"/>
      <c r="AL979" s="22"/>
      <c r="AM979" s="22"/>
      <c r="AN979" s="22"/>
      <c r="AO979" s="22"/>
      <c r="AP979" s="22"/>
      <c r="AQ979" s="22"/>
    </row>
    <row r="980" spans="1:43"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2"/>
      <c r="Y980" s="22"/>
      <c r="Z980" s="22"/>
      <c r="AA980" s="22"/>
      <c r="AB980" s="22"/>
      <c r="AC980" s="22"/>
      <c r="AD980" s="22"/>
      <c r="AE980" s="22"/>
      <c r="AF980" s="22"/>
      <c r="AG980" s="22"/>
      <c r="AH980" s="22"/>
      <c r="AI980" s="22"/>
      <c r="AJ980" s="22"/>
      <c r="AK980" s="22"/>
      <c r="AL980" s="22"/>
      <c r="AM980" s="22"/>
      <c r="AN980" s="22"/>
      <c r="AO980" s="22"/>
      <c r="AP980" s="22"/>
      <c r="AQ980" s="22"/>
    </row>
    <row r="981" spans="1:43"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2"/>
      <c r="Y981" s="22"/>
      <c r="Z981" s="22"/>
      <c r="AA981" s="22"/>
      <c r="AB981" s="22"/>
      <c r="AC981" s="22"/>
      <c r="AD981" s="22"/>
      <c r="AE981" s="22"/>
      <c r="AF981" s="22"/>
      <c r="AG981" s="22"/>
      <c r="AH981" s="22"/>
      <c r="AI981" s="22"/>
      <c r="AJ981" s="22"/>
      <c r="AK981" s="22"/>
      <c r="AL981" s="22"/>
      <c r="AM981" s="22"/>
      <c r="AN981" s="22"/>
      <c r="AO981" s="22"/>
      <c r="AP981" s="22"/>
      <c r="AQ981" s="22"/>
    </row>
    <row r="982" spans="1:43"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2"/>
      <c r="Y982" s="22"/>
      <c r="Z982" s="22"/>
      <c r="AA982" s="22"/>
      <c r="AB982" s="22"/>
      <c r="AC982" s="22"/>
      <c r="AD982" s="22"/>
      <c r="AE982" s="22"/>
      <c r="AF982" s="22"/>
      <c r="AG982" s="22"/>
      <c r="AH982" s="22"/>
      <c r="AI982" s="22"/>
      <c r="AJ982" s="22"/>
      <c r="AK982" s="22"/>
      <c r="AL982" s="22"/>
      <c r="AM982" s="22"/>
      <c r="AN982" s="22"/>
      <c r="AO982" s="22"/>
      <c r="AP982" s="22"/>
      <c r="AQ982" s="22"/>
    </row>
    <row r="983" spans="1:43"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2"/>
      <c r="Y983" s="22"/>
      <c r="Z983" s="22"/>
      <c r="AA983" s="22"/>
      <c r="AB983" s="22"/>
      <c r="AC983" s="22"/>
      <c r="AD983" s="22"/>
      <c r="AE983" s="22"/>
      <c r="AF983" s="22"/>
      <c r="AG983" s="22"/>
      <c r="AH983" s="22"/>
      <c r="AI983" s="22"/>
      <c r="AJ983" s="22"/>
      <c r="AK983" s="22"/>
      <c r="AL983" s="22"/>
      <c r="AM983" s="22"/>
      <c r="AN983" s="22"/>
      <c r="AO983" s="22"/>
      <c r="AP983" s="22"/>
      <c r="AQ983" s="22"/>
    </row>
    <row r="984" spans="1:43"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2"/>
      <c r="Y984" s="22"/>
      <c r="Z984" s="22"/>
      <c r="AA984" s="22"/>
      <c r="AB984" s="22"/>
      <c r="AC984" s="22"/>
      <c r="AD984" s="22"/>
      <c r="AE984" s="22"/>
      <c r="AF984" s="22"/>
      <c r="AG984" s="22"/>
      <c r="AH984" s="22"/>
      <c r="AI984" s="22"/>
      <c r="AJ984" s="22"/>
      <c r="AK984" s="22"/>
      <c r="AL984" s="22"/>
      <c r="AM984" s="22"/>
      <c r="AN984" s="22"/>
      <c r="AO984" s="22"/>
      <c r="AP984" s="22"/>
      <c r="AQ984" s="22"/>
    </row>
    <row r="985" spans="1:43"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2"/>
      <c r="Y985" s="22"/>
      <c r="Z985" s="22"/>
      <c r="AA985" s="22"/>
      <c r="AB985" s="22"/>
      <c r="AC985" s="22"/>
      <c r="AD985" s="22"/>
      <c r="AE985" s="22"/>
      <c r="AF985" s="22"/>
      <c r="AG985" s="22"/>
      <c r="AH985" s="22"/>
      <c r="AI985" s="22"/>
      <c r="AJ985" s="22"/>
      <c r="AK985" s="22"/>
      <c r="AL985" s="22"/>
      <c r="AM985" s="22"/>
      <c r="AN985" s="22"/>
      <c r="AO985" s="22"/>
      <c r="AP985" s="22"/>
      <c r="AQ985" s="22"/>
    </row>
    <row r="986" spans="1:43"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2"/>
      <c r="Y986" s="22"/>
      <c r="Z986" s="22"/>
      <c r="AA986" s="22"/>
      <c r="AB986" s="22"/>
      <c r="AC986" s="22"/>
      <c r="AD986" s="22"/>
      <c r="AE986" s="22"/>
      <c r="AF986" s="22"/>
      <c r="AG986" s="22"/>
      <c r="AH986" s="22"/>
      <c r="AI986" s="22"/>
      <c r="AJ986" s="22"/>
      <c r="AK986" s="22"/>
      <c r="AL986" s="22"/>
      <c r="AM986" s="22"/>
      <c r="AN986" s="22"/>
      <c r="AO986" s="22"/>
      <c r="AP986" s="22"/>
      <c r="AQ986" s="22"/>
    </row>
    <row r="987" spans="1:43"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2"/>
      <c r="Y987" s="22"/>
      <c r="Z987" s="22"/>
      <c r="AA987" s="22"/>
      <c r="AB987" s="22"/>
      <c r="AC987" s="22"/>
      <c r="AD987" s="22"/>
      <c r="AE987" s="22"/>
      <c r="AF987" s="22"/>
      <c r="AG987" s="22"/>
      <c r="AH987" s="22"/>
      <c r="AI987" s="22"/>
      <c r="AJ987" s="22"/>
      <c r="AK987" s="22"/>
      <c r="AL987" s="22"/>
      <c r="AM987" s="22"/>
      <c r="AN987" s="22"/>
      <c r="AO987" s="22"/>
      <c r="AP987" s="22"/>
      <c r="AQ987" s="22"/>
    </row>
    <row r="988" spans="1:43"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2"/>
      <c r="Y988" s="22"/>
      <c r="Z988" s="22"/>
      <c r="AA988" s="22"/>
      <c r="AB988" s="22"/>
      <c r="AC988" s="22"/>
      <c r="AD988" s="22"/>
      <c r="AE988" s="22"/>
      <c r="AF988" s="22"/>
      <c r="AG988" s="22"/>
      <c r="AH988" s="22"/>
      <c r="AI988" s="22"/>
      <c r="AJ988" s="22"/>
      <c r="AK988" s="22"/>
      <c r="AL988" s="22"/>
      <c r="AM988" s="22"/>
      <c r="AN988" s="22"/>
      <c r="AO988" s="22"/>
      <c r="AP988" s="22"/>
      <c r="AQ988" s="22"/>
    </row>
    <row r="989" spans="1:43"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2"/>
      <c r="Y989" s="22"/>
      <c r="Z989" s="22"/>
      <c r="AA989" s="22"/>
      <c r="AB989" s="22"/>
      <c r="AC989" s="22"/>
      <c r="AD989" s="22"/>
      <c r="AE989" s="22"/>
      <c r="AF989" s="22"/>
      <c r="AG989" s="22"/>
      <c r="AH989" s="22"/>
      <c r="AI989" s="22"/>
      <c r="AJ989" s="22"/>
      <c r="AK989" s="22"/>
      <c r="AL989" s="22"/>
      <c r="AM989" s="22"/>
      <c r="AN989" s="22"/>
      <c r="AO989" s="22"/>
      <c r="AP989" s="22"/>
      <c r="AQ989" s="22"/>
    </row>
    <row r="990" spans="1:43"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2"/>
      <c r="Y990" s="22"/>
      <c r="Z990" s="22"/>
      <c r="AA990" s="22"/>
      <c r="AB990" s="22"/>
      <c r="AC990" s="22"/>
      <c r="AD990" s="22"/>
      <c r="AE990" s="22"/>
      <c r="AF990" s="22"/>
      <c r="AG990" s="22"/>
      <c r="AH990" s="22"/>
      <c r="AI990" s="22"/>
      <c r="AJ990" s="22"/>
      <c r="AK990" s="22"/>
      <c r="AL990" s="22"/>
      <c r="AM990" s="22"/>
      <c r="AN990" s="22"/>
      <c r="AO990" s="22"/>
      <c r="AP990" s="22"/>
      <c r="AQ990" s="22"/>
    </row>
    <row r="991" spans="1:43"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2"/>
      <c r="Y991" s="22"/>
      <c r="Z991" s="22"/>
      <c r="AA991" s="22"/>
      <c r="AB991" s="22"/>
      <c r="AC991" s="22"/>
      <c r="AD991" s="22"/>
      <c r="AE991" s="22"/>
      <c r="AF991" s="22"/>
      <c r="AG991" s="22"/>
      <c r="AH991" s="22"/>
      <c r="AI991" s="22"/>
      <c r="AJ991" s="22"/>
      <c r="AK991" s="22"/>
      <c r="AL991" s="22"/>
      <c r="AM991" s="22"/>
      <c r="AN991" s="22"/>
      <c r="AO991" s="22"/>
      <c r="AP991" s="22"/>
      <c r="AQ991" s="22"/>
    </row>
    <row r="992" spans="1:43"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2"/>
      <c r="Y992" s="22"/>
      <c r="Z992" s="22"/>
      <c r="AA992" s="22"/>
      <c r="AB992" s="22"/>
      <c r="AC992" s="22"/>
      <c r="AD992" s="22"/>
      <c r="AE992" s="22"/>
      <c r="AF992" s="22"/>
      <c r="AG992" s="22"/>
      <c r="AH992" s="22"/>
      <c r="AI992" s="22"/>
      <c r="AJ992" s="22"/>
      <c r="AK992" s="22"/>
      <c r="AL992" s="22"/>
      <c r="AM992" s="22"/>
      <c r="AN992" s="22"/>
      <c r="AO992" s="22"/>
      <c r="AP992" s="22"/>
      <c r="AQ992" s="22"/>
    </row>
    <row r="993" spans="1:43"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2"/>
      <c r="Y993" s="22"/>
      <c r="Z993" s="22"/>
      <c r="AA993" s="22"/>
      <c r="AB993" s="22"/>
      <c r="AC993" s="22"/>
      <c r="AD993" s="22"/>
      <c r="AE993" s="22"/>
      <c r="AF993" s="22"/>
      <c r="AG993" s="22"/>
      <c r="AH993" s="22"/>
      <c r="AI993" s="22"/>
      <c r="AJ993" s="22"/>
      <c r="AK993" s="22"/>
      <c r="AL993" s="22"/>
      <c r="AM993" s="22"/>
      <c r="AN993" s="22"/>
      <c r="AO993" s="22"/>
      <c r="AP993" s="22"/>
      <c r="AQ993" s="22"/>
    </row>
    <row r="994" spans="1:43"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2"/>
      <c r="Y994" s="22"/>
      <c r="Z994" s="22"/>
      <c r="AA994" s="22"/>
      <c r="AB994" s="22"/>
      <c r="AC994" s="22"/>
      <c r="AD994" s="22"/>
      <c r="AE994" s="22"/>
      <c r="AF994" s="22"/>
      <c r="AG994" s="22"/>
      <c r="AH994" s="22"/>
      <c r="AI994" s="22"/>
      <c r="AJ994" s="22"/>
      <c r="AK994" s="22"/>
      <c r="AL994" s="22"/>
      <c r="AM994" s="22"/>
      <c r="AN994" s="22"/>
      <c r="AO994" s="22"/>
      <c r="AP994" s="22"/>
      <c r="AQ994" s="22"/>
    </row>
    <row r="995" spans="1:43"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2"/>
      <c r="Y995" s="22"/>
      <c r="Z995" s="22"/>
      <c r="AA995" s="22"/>
      <c r="AB995" s="22"/>
      <c r="AC995" s="22"/>
      <c r="AD995" s="22"/>
      <c r="AE995" s="22"/>
      <c r="AF995" s="22"/>
      <c r="AG995" s="22"/>
      <c r="AH995" s="22"/>
      <c r="AI995" s="22"/>
      <c r="AJ995" s="22"/>
      <c r="AK995" s="22"/>
      <c r="AL995" s="22"/>
      <c r="AM995" s="22"/>
      <c r="AN995" s="22"/>
      <c r="AO995" s="22"/>
      <c r="AP995" s="22"/>
      <c r="AQ995" s="22"/>
    </row>
    <row r="996" spans="1:43"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2"/>
      <c r="Y996" s="22"/>
      <c r="Z996" s="22"/>
      <c r="AA996" s="22"/>
      <c r="AB996" s="22"/>
      <c r="AC996" s="22"/>
      <c r="AD996" s="22"/>
      <c r="AE996" s="22"/>
      <c r="AF996" s="22"/>
      <c r="AG996" s="22"/>
      <c r="AH996" s="22"/>
      <c r="AI996" s="22"/>
      <c r="AJ996" s="22"/>
      <c r="AK996" s="22"/>
      <c r="AL996" s="22"/>
      <c r="AM996" s="22"/>
      <c r="AN996" s="22"/>
      <c r="AO996" s="22"/>
      <c r="AP996" s="22"/>
      <c r="AQ996" s="22"/>
    </row>
    <row r="997" spans="1:43"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2"/>
      <c r="Y997" s="22"/>
      <c r="Z997" s="22"/>
      <c r="AA997" s="22"/>
      <c r="AB997" s="22"/>
      <c r="AC997" s="22"/>
      <c r="AD997" s="22"/>
      <c r="AE997" s="22"/>
      <c r="AF997" s="22"/>
      <c r="AG997" s="22"/>
      <c r="AH997" s="22"/>
      <c r="AI997" s="22"/>
      <c r="AJ997" s="22"/>
      <c r="AK997" s="22"/>
      <c r="AL997" s="22"/>
      <c r="AM997" s="22"/>
      <c r="AN997" s="22"/>
      <c r="AO997" s="22"/>
      <c r="AP997" s="22"/>
      <c r="AQ997" s="22"/>
    </row>
    <row r="998" spans="1:43"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2"/>
      <c r="Y998" s="22"/>
      <c r="Z998" s="22"/>
      <c r="AA998" s="22"/>
      <c r="AB998" s="22"/>
      <c r="AC998" s="22"/>
      <c r="AD998" s="22"/>
      <c r="AE998" s="22"/>
      <c r="AF998" s="22"/>
      <c r="AG998" s="22"/>
      <c r="AH998" s="22"/>
      <c r="AI998" s="22"/>
      <c r="AJ998" s="22"/>
      <c r="AK998" s="22"/>
      <c r="AL998" s="22"/>
      <c r="AM998" s="22"/>
      <c r="AN998" s="22"/>
      <c r="AO998" s="22"/>
      <c r="AP998" s="22"/>
      <c r="AQ998" s="22"/>
    </row>
    <row r="999" spans="1:43"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2"/>
      <c r="Y999" s="22"/>
      <c r="Z999" s="22"/>
      <c r="AA999" s="22"/>
      <c r="AB999" s="22"/>
      <c r="AC999" s="22"/>
      <c r="AD999" s="22"/>
      <c r="AE999" s="22"/>
      <c r="AF999" s="22"/>
      <c r="AG999" s="22"/>
      <c r="AH999" s="22"/>
      <c r="AI999" s="22"/>
      <c r="AJ999" s="22"/>
      <c r="AK999" s="22"/>
      <c r="AL999" s="22"/>
      <c r="AM999" s="22"/>
      <c r="AN999" s="22"/>
      <c r="AO999" s="22"/>
      <c r="AP999" s="22"/>
      <c r="AQ999" s="22"/>
    </row>
    <row r="1000" spans="1:43"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2"/>
      <c r="Y1000" s="22"/>
      <c r="Z1000" s="22"/>
      <c r="AA1000" s="22"/>
      <c r="AB1000" s="22"/>
      <c r="AC1000" s="22"/>
      <c r="AD1000" s="22"/>
      <c r="AE1000" s="22"/>
      <c r="AF1000" s="22"/>
      <c r="AG1000" s="22"/>
      <c r="AH1000" s="22"/>
      <c r="AI1000" s="22"/>
      <c r="AJ1000" s="22"/>
      <c r="AK1000" s="22"/>
      <c r="AL1000" s="22"/>
      <c r="AM1000" s="22"/>
      <c r="AN1000" s="22"/>
      <c r="AO1000" s="22"/>
      <c r="AP1000" s="22"/>
      <c r="AQ1000" s="22"/>
    </row>
    <row r="1001" spans="1:43" ht="15.75" customHeight="1">
      <c r="A1001" s="26"/>
      <c r="B1001" s="26"/>
      <c r="C1001" s="26"/>
      <c r="D1001" s="26"/>
      <c r="E1001" s="26"/>
      <c r="F1001" s="26"/>
      <c r="G1001" s="26"/>
      <c r="H1001" s="26"/>
      <c r="I1001" s="26"/>
      <c r="J1001" s="26"/>
      <c r="K1001" s="26"/>
      <c r="L1001" s="26"/>
      <c r="M1001" s="26"/>
      <c r="N1001" s="26"/>
      <c r="O1001" s="26"/>
      <c r="P1001" s="26"/>
      <c r="Q1001" s="26"/>
      <c r="R1001" s="26"/>
      <c r="S1001" s="26"/>
      <c r="T1001" s="26"/>
      <c r="U1001" s="26"/>
      <c r="V1001" s="26"/>
      <c r="W1001" s="26"/>
      <c r="X1001" s="22"/>
      <c r="Y1001" s="22"/>
      <c r="Z1001" s="22"/>
      <c r="AA1001" s="22"/>
      <c r="AB1001" s="22"/>
      <c r="AC1001" s="22"/>
      <c r="AD1001" s="22"/>
      <c r="AE1001" s="22"/>
      <c r="AF1001" s="22"/>
      <c r="AG1001" s="22"/>
      <c r="AH1001" s="22"/>
      <c r="AI1001" s="22"/>
      <c r="AJ1001" s="22"/>
      <c r="AK1001" s="22"/>
      <c r="AL1001" s="22"/>
      <c r="AM1001" s="22"/>
      <c r="AN1001" s="22"/>
      <c r="AO1001" s="22"/>
      <c r="AP1001" s="22"/>
      <c r="AQ1001" s="22"/>
    </row>
    <row r="1002" spans="1:43" ht="15.75" customHeight="1">
      <c r="A1002" s="26"/>
      <c r="B1002" s="26"/>
      <c r="C1002" s="26"/>
      <c r="D1002" s="26"/>
      <c r="E1002" s="26"/>
      <c r="F1002" s="26"/>
      <c r="G1002" s="26"/>
      <c r="H1002" s="26"/>
      <c r="I1002" s="26"/>
      <c r="J1002" s="26"/>
      <c r="K1002" s="26"/>
      <c r="L1002" s="26"/>
      <c r="M1002" s="26"/>
      <c r="N1002" s="26"/>
      <c r="O1002" s="26"/>
      <c r="P1002" s="26"/>
      <c r="Q1002" s="26"/>
      <c r="R1002" s="26"/>
      <c r="S1002" s="26"/>
      <c r="T1002" s="26"/>
      <c r="U1002" s="26"/>
      <c r="V1002" s="26"/>
      <c r="W1002" s="26"/>
      <c r="X1002" s="22"/>
      <c r="Y1002" s="22"/>
      <c r="Z1002" s="22"/>
      <c r="AA1002" s="22"/>
      <c r="AB1002" s="22"/>
      <c r="AC1002" s="22"/>
      <c r="AD1002" s="22"/>
      <c r="AE1002" s="22"/>
      <c r="AF1002" s="22"/>
      <c r="AG1002" s="22"/>
      <c r="AH1002" s="22"/>
      <c r="AI1002" s="22"/>
      <c r="AJ1002" s="22"/>
      <c r="AK1002" s="22"/>
      <c r="AL1002" s="22"/>
      <c r="AM1002" s="22"/>
      <c r="AN1002" s="22"/>
      <c r="AO1002" s="22"/>
      <c r="AP1002" s="22"/>
      <c r="AQ1002" s="22"/>
    </row>
  </sheetData>
  <mergeCells count="1">
    <mergeCell ref="A23:W23"/>
  </mergeCells>
  <printOptions headings="1" gridLines="1"/>
  <pageMargins left="0.7" right="0.7" top="0.75" bottom="0.75" header="0.3" footer="0.3"/>
  <pageSetup paperSize="5" scale="67" fitToHeight="0" orientation="landscape" horizontalDpi="1200" verticalDpi="1200"/>
  <legacy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HL34"/>
  <sheetViews>
    <sheetView zoomScaleNormal="100" workbookViewId="0">
      <selection activeCell="K31" sqref="K31"/>
    </sheetView>
  </sheetViews>
  <sheetFormatPr defaultColWidth="8.85546875" defaultRowHeight="15"/>
  <cols>
    <col min="1" max="1" width="10.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42578125" bestFit="1" customWidth="1"/>
    <col min="22" max="22" width="10.85546875" bestFit="1" customWidth="1"/>
    <col min="23" max="23" width="12.85546875" bestFit="1" customWidth="1"/>
  </cols>
  <sheetData>
    <row r="1" spans="1:220" s="8" customFormat="1" ht="18.75">
      <c r="A1" s="1" t="s">
        <v>16</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417">
        <v>2021</v>
      </c>
      <c r="B3" s="479">
        <v>67</v>
      </c>
      <c r="C3" s="479">
        <v>24</v>
      </c>
      <c r="D3" s="410">
        <f>SUM(B3:C3)</f>
        <v>91</v>
      </c>
      <c r="E3" s="411">
        <f>ROUND((O3/B3), 0)</f>
        <v>22</v>
      </c>
      <c r="F3" s="411">
        <f t="shared" ref="F3" si="0">ROUND((O3/D3), 0)</f>
        <v>16</v>
      </c>
      <c r="G3" s="479">
        <v>10</v>
      </c>
      <c r="H3" s="479">
        <v>0</v>
      </c>
      <c r="I3" s="479">
        <v>86</v>
      </c>
      <c r="J3" s="479">
        <v>86</v>
      </c>
      <c r="K3" s="410">
        <f t="shared" ref="K3" si="1">SUM(I3:J3)</f>
        <v>172</v>
      </c>
      <c r="L3" s="479">
        <v>34</v>
      </c>
      <c r="M3" s="411">
        <f>(I3+L3)</f>
        <v>120</v>
      </c>
      <c r="N3" s="479">
        <v>27</v>
      </c>
      <c r="O3" s="479">
        <v>1464</v>
      </c>
      <c r="P3" s="413">
        <f t="shared" ref="P3" si="2">M3/O3</f>
        <v>8.1967213114754092E-2</v>
      </c>
      <c r="Q3" s="480">
        <v>53</v>
      </c>
      <c r="R3" s="479">
        <v>553</v>
      </c>
      <c r="S3" s="481">
        <v>25850198</v>
      </c>
      <c r="T3" s="415">
        <f t="shared" ref="T3" si="3">SUM(U3:V3)</f>
        <v>25850198</v>
      </c>
      <c r="U3" s="481">
        <v>18877446</v>
      </c>
      <c r="V3" s="481">
        <v>6972752</v>
      </c>
      <c r="W3" s="335">
        <f t="shared" ref="W3" si="4">V3/T3</f>
        <v>0.26973688944278107</v>
      </c>
      <c r="X3" s="416"/>
      <c r="Y3" s="416"/>
      <c r="Z3" s="416"/>
      <c r="AA3" s="416"/>
      <c r="AB3" s="416"/>
      <c r="AC3" s="416"/>
      <c r="AD3" s="416"/>
    </row>
    <row r="4" spans="1:220">
      <c r="A4" s="417">
        <v>2020</v>
      </c>
      <c r="B4" s="479">
        <v>67</v>
      </c>
      <c r="C4" s="479">
        <v>42</v>
      </c>
      <c r="D4" s="410">
        <f>SUM(B4:C4)</f>
        <v>109</v>
      </c>
      <c r="E4" s="411">
        <f>ROUND((O4/B4), 0)</f>
        <v>23</v>
      </c>
      <c r="F4" s="411">
        <f>ROUND((O4/D4), 0)</f>
        <v>14</v>
      </c>
      <c r="G4" s="479">
        <v>12</v>
      </c>
      <c r="H4" s="479">
        <v>0</v>
      </c>
      <c r="I4" s="479">
        <v>52</v>
      </c>
      <c r="J4" s="479">
        <v>57</v>
      </c>
      <c r="K4" s="410">
        <f t="shared" ref="K4" si="5">SUM(I4:J4)</f>
        <v>109</v>
      </c>
      <c r="L4" s="479">
        <v>23</v>
      </c>
      <c r="M4" s="411">
        <f>(I4+L4)</f>
        <v>75</v>
      </c>
      <c r="N4" s="479">
        <v>17</v>
      </c>
      <c r="O4" s="479">
        <v>1511</v>
      </c>
      <c r="P4" s="413">
        <f t="shared" ref="P4" si="6">M4/O4</f>
        <v>4.9636002647253472E-2</v>
      </c>
      <c r="Q4" s="480">
        <v>39</v>
      </c>
      <c r="R4" s="479">
        <v>547</v>
      </c>
      <c r="S4" s="481">
        <v>26208471</v>
      </c>
      <c r="T4" s="415">
        <f>SUM(U4:V4)</f>
        <v>27915934</v>
      </c>
      <c r="U4" s="481">
        <v>20930078</v>
      </c>
      <c r="V4" s="481">
        <v>6985856</v>
      </c>
      <c r="W4" s="335">
        <f t="shared" ref="W4" si="7">V4/T4</f>
        <v>0.25024618556556266</v>
      </c>
      <c r="X4" s="416"/>
      <c r="Y4" s="416"/>
      <c r="Z4" s="416"/>
      <c r="AA4" s="416"/>
      <c r="AB4" s="416"/>
      <c r="AC4" s="416"/>
      <c r="AD4" s="416"/>
    </row>
    <row r="5" spans="1:220">
      <c r="A5" s="417">
        <v>2019</v>
      </c>
      <c r="B5" s="479">
        <v>65</v>
      </c>
      <c r="C5" s="479">
        <v>29</v>
      </c>
      <c r="D5" s="410">
        <f>SUM(B5:C5)</f>
        <v>94</v>
      </c>
      <c r="E5" s="411">
        <f>ROUND((O5/B5), 0)</f>
        <v>27</v>
      </c>
      <c r="F5" s="411">
        <f>ROUND((O5/D5), 0)</f>
        <v>19</v>
      </c>
      <c r="G5" s="479">
        <v>10</v>
      </c>
      <c r="H5" s="479">
        <v>0</v>
      </c>
      <c r="I5" s="479">
        <v>32</v>
      </c>
      <c r="J5" s="479">
        <v>36</v>
      </c>
      <c r="K5" s="410">
        <f>SUM(I5:J5)</f>
        <v>68</v>
      </c>
      <c r="L5" s="479">
        <v>14</v>
      </c>
      <c r="M5" s="411">
        <f>(I5+L5)</f>
        <v>46</v>
      </c>
      <c r="N5" s="479">
        <v>9</v>
      </c>
      <c r="O5" s="479">
        <v>1753</v>
      </c>
      <c r="P5" s="413">
        <f>M5/O5</f>
        <v>2.6240730176839703E-2</v>
      </c>
      <c r="Q5" s="480">
        <v>32</v>
      </c>
      <c r="R5" s="479">
        <v>600</v>
      </c>
      <c r="S5" s="481">
        <v>26208471</v>
      </c>
      <c r="T5" s="415">
        <f>SUM(U5:V5)</f>
        <v>26208471</v>
      </c>
      <c r="U5" s="481">
        <v>20687282</v>
      </c>
      <c r="V5" s="481">
        <v>5521189</v>
      </c>
      <c r="W5" s="335">
        <f>V5/T5</f>
        <v>0.21066429247246052</v>
      </c>
      <c r="X5" s="416"/>
      <c r="Y5" s="416"/>
      <c r="Z5" s="416"/>
      <c r="AA5" s="416"/>
      <c r="AB5" s="416"/>
      <c r="AC5" s="416"/>
      <c r="AD5" s="416"/>
    </row>
    <row r="6" spans="1:220" s="17" customFormat="1">
      <c r="A6" s="33">
        <v>2018</v>
      </c>
      <c r="B6" s="20">
        <v>54</v>
      </c>
      <c r="C6" s="20">
        <v>18</v>
      </c>
      <c r="D6" s="29">
        <f>SUM(B6:C6)</f>
        <v>72</v>
      </c>
      <c r="E6" s="172">
        <f>ROUND((O6/B6), 0)</f>
        <v>21</v>
      </c>
      <c r="F6" s="172">
        <f>ROUND((O6/D6), 0)</f>
        <v>16</v>
      </c>
      <c r="G6" s="20">
        <v>8</v>
      </c>
      <c r="H6" s="20">
        <v>0</v>
      </c>
      <c r="I6" s="20">
        <v>6</v>
      </c>
      <c r="J6" s="20">
        <v>34</v>
      </c>
      <c r="K6" s="29">
        <f>SUM(I6:J6)</f>
        <v>40</v>
      </c>
      <c r="L6" s="20">
        <v>14</v>
      </c>
      <c r="M6" s="172">
        <f>(I6+L6)</f>
        <v>20</v>
      </c>
      <c r="N6" s="20">
        <v>3</v>
      </c>
      <c r="O6" s="20">
        <v>1128</v>
      </c>
      <c r="P6" s="183">
        <f>M6/O6</f>
        <v>1.7730496453900711E-2</v>
      </c>
      <c r="Q6" s="20">
        <v>47</v>
      </c>
      <c r="R6" s="20">
        <v>396</v>
      </c>
      <c r="S6" s="24">
        <v>28901459</v>
      </c>
      <c r="T6" s="30">
        <f>SUM(U6:V6)</f>
        <v>28901459</v>
      </c>
      <c r="U6" s="24">
        <v>19589624</v>
      </c>
      <c r="V6" s="24">
        <v>9311835</v>
      </c>
      <c r="W6" s="185">
        <f>V6/T6</f>
        <v>0.32219255782208089</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30</v>
      </c>
      <c r="C7" s="20">
        <v>7</v>
      </c>
      <c r="D7" s="34">
        <f>SUM(B7:C7)</f>
        <v>37</v>
      </c>
      <c r="E7" s="34">
        <f t="shared" ref="E7:E22" si="8">ROUND((O7/B7), 0)</f>
        <v>21</v>
      </c>
      <c r="F7" s="34">
        <f>ROUND((O7/D7), 0)</f>
        <v>17</v>
      </c>
      <c r="G7" s="20">
        <v>9</v>
      </c>
      <c r="H7" s="20">
        <v>3</v>
      </c>
      <c r="I7" s="20">
        <v>41</v>
      </c>
      <c r="J7" s="20">
        <v>46</v>
      </c>
      <c r="K7" s="34">
        <f>SUM(I7:J7)</f>
        <v>87</v>
      </c>
      <c r="L7" s="20">
        <f>46*0.4</f>
        <v>18.400000000000002</v>
      </c>
      <c r="M7" s="36">
        <f>(I7+L7)</f>
        <v>59.400000000000006</v>
      </c>
      <c r="N7" s="344">
        <v>10</v>
      </c>
      <c r="O7" s="344">
        <v>625.6</v>
      </c>
      <c r="P7" s="183">
        <f t="shared" ref="P7:P22" si="9">M7/O7</f>
        <v>9.4948849104859345E-2</v>
      </c>
      <c r="Q7" s="20">
        <v>61</v>
      </c>
      <c r="R7" s="20">
        <v>254</v>
      </c>
      <c r="S7" s="300">
        <v>12570943</v>
      </c>
      <c r="T7" s="35">
        <f>SUM(U7:V7)</f>
        <v>15437010</v>
      </c>
      <c r="U7" s="341">
        <v>10172244</v>
      </c>
      <c r="V7" s="24">
        <v>5264766</v>
      </c>
      <c r="W7" s="185">
        <f t="shared" ref="W7:W22" si="10">V7/T7</f>
        <v>0.34104829886098409</v>
      </c>
    </row>
    <row r="8" spans="1:220" s="65" customFormat="1">
      <c r="A8" s="95">
        <v>2016</v>
      </c>
      <c r="B8" s="63">
        <v>27</v>
      </c>
      <c r="C8" s="63">
        <v>11</v>
      </c>
      <c r="D8" s="108">
        <f>B8+C8</f>
        <v>38</v>
      </c>
      <c r="E8" s="109">
        <f t="shared" si="8"/>
        <v>20</v>
      </c>
      <c r="F8" s="109">
        <f>ROUND((O8/D8), 0)</f>
        <v>14</v>
      </c>
      <c r="G8" s="83">
        <v>8</v>
      </c>
      <c r="H8" s="83">
        <v>3</v>
      </c>
      <c r="I8" s="63">
        <v>50</v>
      </c>
      <c r="J8" s="63">
        <v>56</v>
      </c>
      <c r="K8" s="108">
        <f>I8+J8</f>
        <v>106</v>
      </c>
      <c r="L8" s="63">
        <v>22</v>
      </c>
      <c r="M8" s="109">
        <f>I8+L8</f>
        <v>72</v>
      </c>
      <c r="N8" s="63">
        <v>6</v>
      </c>
      <c r="O8" s="63">
        <v>548</v>
      </c>
      <c r="P8" s="183">
        <f t="shared" si="9"/>
        <v>0.13138686131386862</v>
      </c>
      <c r="Q8" s="63">
        <v>60</v>
      </c>
      <c r="R8" s="63">
        <v>260</v>
      </c>
      <c r="S8" s="69">
        <v>12929433</v>
      </c>
      <c r="T8" s="110">
        <f>SUM(U8:V8)</f>
        <v>13636463</v>
      </c>
      <c r="U8" s="74">
        <v>11327598</v>
      </c>
      <c r="V8" s="74">
        <v>2308865</v>
      </c>
      <c r="W8" s="185">
        <f t="shared" si="10"/>
        <v>0.16931553292081677</v>
      </c>
    </row>
    <row r="9" spans="1:220" s="105" customFormat="1">
      <c r="A9" s="267">
        <v>2015</v>
      </c>
      <c r="B9" s="63">
        <v>30</v>
      </c>
      <c r="C9" s="91">
        <v>11.5</v>
      </c>
      <c r="D9" s="81">
        <v>41.5</v>
      </c>
      <c r="E9" s="82">
        <f t="shared" si="8"/>
        <v>19</v>
      </c>
      <c r="F9" s="81">
        <v>27.2</v>
      </c>
      <c r="G9" s="111"/>
      <c r="H9" s="111"/>
      <c r="I9" s="91">
        <v>56</v>
      </c>
      <c r="J9" s="91">
        <v>53</v>
      </c>
      <c r="K9" s="81">
        <v>109</v>
      </c>
      <c r="L9" s="91">
        <v>21</v>
      </c>
      <c r="M9" s="81">
        <v>77.2</v>
      </c>
      <c r="N9" s="91">
        <v>8</v>
      </c>
      <c r="O9" s="91">
        <v>584.6</v>
      </c>
      <c r="P9" s="183">
        <f t="shared" si="9"/>
        <v>0.13205610673965104</v>
      </c>
      <c r="Q9" s="91">
        <v>75</v>
      </c>
      <c r="R9" s="91">
        <v>206</v>
      </c>
      <c r="S9" s="102">
        <v>12911473</v>
      </c>
      <c r="T9" s="103">
        <v>17246384</v>
      </c>
      <c r="U9" s="102">
        <v>10453048</v>
      </c>
      <c r="V9" s="102">
        <v>6793336</v>
      </c>
      <c r="W9" s="185">
        <f t="shared" si="10"/>
        <v>0.39389915010590049</v>
      </c>
    </row>
    <row r="10" spans="1:220" s="105" customFormat="1">
      <c r="A10" s="267">
        <v>2014</v>
      </c>
      <c r="B10" s="63">
        <v>32</v>
      </c>
      <c r="C10" s="91">
        <v>9</v>
      </c>
      <c r="D10" s="81">
        <v>41</v>
      </c>
      <c r="E10" s="82">
        <f t="shared" si="8"/>
        <v>16</v>
      </c>
      <c r="F10" s="81">
        <v>26.3</v>
      </c>
      <c r="G10" s="111"/>
      <c r="H10" s="111"/>
      <c r="I10" s="91">
        <v>57</v>
      </c>
      <c r="J10" s="91">
        <v>69</v>
      </c>
      <c r="K10" s="81">
        <v>126</v>
      </c>
      <c r="L10" s="91">
        <v>28</v>
      </c>
      <c r="M10" s="81">
        <v>84.6</v>
      </c>
      <c r="N10" s="91">
        <v>17</v>
      </c>
      <c r="O10" s="91">
        <v>526.79999999999995</v>
      </c>
      <c r="P10" s="183">
        <f t="shared" si="9"/>
        <v>0.16059225512528474</v>
      </c>
      <c r="Q10" s="91">
        <v>111</v>
      </c>
      <c r="R10" s="91">
        <v>217</v>
      </c>
      <c r="S10" s="102">
        <v>11610947</v>
      </c>
      <c r="T10" s="103">
        <v>13770633</v>
      </c>
      <c r="U10" s="102">
        <v>9792548</v>
      </c>
      <c r="V10" s="102">
        <v>3978085</v>
      </c>
      <c r="W10" s="185">
        <f t="shared" si="10"/>
        <v>0.28888178197763315</v>
      </c>
    </row>
    <row r="11" spans="1:220" s="71" customFormat="1">
      <c r="A11" s="90">
        <v>2013</v>
      </c>
      <c r="B11" s="361">
        <v>31</v>
      </c>
      <c r="C11" s="361">
        <v>6</v>
      </c>
      <c r="D11" s="108">
        <f>B11+C11</f>
        <v>37</v>
      </c>
      <c r="E11" s="109">
        <f t="shared" si="8"/>
        <v>18</v>
      </c>
      <c r="F11" s="109">
        <f t="shared" ref="F11:F22" si="11">ROUND((O11/D11), 0)</f>
        <v>15</v>
      </c>
      <c r="G11" s="113"/>
      <c r="H11" s="113"/>
      <c r="I11" s="361">
        <v>89</v>
      </c>
      <c r="J11" s="361">
        <v>84</v>
      </c>
      <c r="K11" s="108">
        <f>I11+J11</f>
        <v>173</v>
      </c>
      <c r="L11" s="361">
        <v>33.6</v>
      </c>
      <c r="M11" s="109">
        <f>I11+L11</f>
        <v>122.6</v>
      </c>
      <c r="N11" s="361">
        <v>24</v>
      </c>
      <c r="O11" s="361">
        <v>565.4</v>
      </c>
      <c r="P11" s="183">
        <f t="shared" si="9"/>
        <v>0.2168376370711001</v>
      </c>
      <c r="Q11" s="361">
        <v>152</v>
      </c>
      <c r="R11" s="361">
        <v>151</v>
      </c>
      <c r="S11" s="112">
        <v>10977679</v>
      </c>
      <c r="T11" s="110">
        <f t="shared" ref="T11:T16" si="12">SUM(U11:V11)</f>
        <v>14080020</v>
      </c>
      <c r="U11" s="112">
        <v>9758608</v>
      </c>
      <c r="V11" s="112">
        <v>4321412</v>
      </c>
      <c r="W11" s="185">
        <f t="shared" si="10"/>
        <v>0.30691802994598016</v>
      </c>
    </row>
    <row r="12" spans="1:220" s="71" customFormat="1">
      <c r="A12" s="90">
        <v>2012</v>
      </c>
      <c r="B12" s="361">
        <v>31</v>
      </c>
      <c r="C12" s="361">
        <v>20</v>
      </c>
      <c r="D12" s="108">
        <f>B12+C12</f>
        <v>51</v>
      </c>
      <c r="E12" s="109">
        <f t="shared" si="8"/>
        <v>13</v>
      </c>
      <c r="F12" s="109">
        <f t="shared" si="11"/>
        <v>8</v>
      </c>
      <c r="G12" s="113"/>
      <c r="H12" s="113"/>
      <c r="I12" s="361">
        <v>109</v>
      </c>
      <c r="J12" s="361">
        <v>132</v>
      </c>
      <c r="K12" s="108">
        <f>I12+J12</f>
        <v>241</v>
      </c>
      <c r="L12" s="361">
        <v>52.8</v>
      </c>
      <c r="M12" s="109">
        <f>I12+L12</f>
        <v>161.80000000000001</v>
      </c>
      <c r="N12" s="361">
        <v>24</v>
      </c>
      <c r="O12" s="361">
        <v>417.80000000000007</v>
      </c>
      <c r="P12" s="183">
        <f t="shared" si="9"/>
        <v>0.38726663475347051</v>
      </c>
      <c r="Q12" s="361">
        <v>189</v>
      </c>
      <c r="R12" s="361">
        <v>172</v>
      </c>
      <c r="S12" s="112">
        <v>13046609</v>
      </c>
      <c r="T12" s="110">
        <f t="shared" si="12"/>
        <v>15941183</v>
      </c>
      <c r="U12" s="112">
        <v>9248514</v>
      </c>
      <c r="V12" s="112">
        <v>6692669</v>
      </c>
      <c r="W12" s="185">
        <f t="shared" si="10"/>
        <v>0.41983515276124739</v>
      </c>
    </row>
    <row r="13" spans="1:220" s="71" customFormat="1">
      <c r="A13" s="90" t="s">
        <v>81</v>
      </c>
      <c r="B13" s="361">
        <v>29</v>
      </c>
      <c r="C13" s="361">
        <v>13.5</v>
      </c>
      <c r="D13" s="108">
        <f t="shared" ref="D13:D22" si="13">SUM(B13:C13)</f>
        <v>42.5</v>
      </c>
      <c r="E13" s="109">
        <f t="shared" si="8"/>
        <v>17</v>
      </c>
      <c r="F13" s="109">
        <f t="shared" si="11"/>
        <v>12</v>
      </c>
      <c r="G13" s="113"/>
      <c r="H13" s="113"/>
      <c r="I13" s="361">
        <v>148</v>
      </c>
      <c r="J13" s="361">
        <v>163</v>
      </c>
      <c r="K13" s="108">
        <f t="shared" ref="K13:K22" si="14">SUM(I13:J13)</f>
        <v>311</v>
      </c>
      <c r="L13" s="361">
        <v>65.2</v>
      </c>
      <c r="M13" s="109">
        <f t="shared" ref="M13:M22" si="15">(I13+L13)</f>
        <v>213.2</v>
      </c>
      <c r="N13" s="361">
        <v>27</v>
      </c>
      <c r="O13" s="361">
        <v>501.59999999999997</v>
      </c>
      <c r="P13" s="183">
        <f t="shared" si="9"/>
        <v>0.42503987240829344</v>
      </c>
      <c r="Q13" s="361">
        <v>228</v>
      </c>
      <c r="R13" s="361">
        <v>155</v>
      </c>
      <c r="S13" s="112">
        <v>12174850</v>
      </c>
      <c r="T13" s="110">
        <f t="shared" si="12"/>
        <v>15499911</v>
      </c>
      <c r="U13" s="112">
        <v>9817668</v>
      </c>
      <c r="V13" s="112">
        <v>5682243</v>
      </c>
      <c r="W13" s="185">
        <f t="shared" si="10"/>
        <v>0.36659842756516475</v>
      </c>
    </row>
    <row r="14" spans="1:220" s="71" customFormat="1">
      <c r="A14" s="90" t="s">
        <v>82</v>
      </c>
      <c r="B14" s="361">
        <v>30</v>
      </c>
      <c r="C14" s="361">
        <v>7.5</v>
      </c>
      <c r="D14" s="108">
        <f t="shared" si="13"/>
        <v>37.5</v>
      </c>
      <c r="E14" s="109">
        <f t="shared" si="8"/>
        <v>18</v>
      </c>
      <c r="F14" s="109">
        <f t="shared" si="11"/>
        <v>15</v>
      </c>
      <c r="G14" s="113"/>
      <c r="H14" s="113"/>
      <c r="I14" s="361">
        <v>180</v>
      </c>
      <c r="J14" s="361">
        <v>203</v>
      </c>
      <c r="K14" s="108">
        <f t="shared" si="14"/>
        <v>383</v>
      </c>
      <c r="L14" s="361">
        <v>81.2</v>
      </c>
      <c r="M14" s="109">
        <f t="shared" si="15"/>
        <v>261.2</v>
      </c>
      <c r="N14" s="361">
        <v>32</v>
      </c>
      <c r="O14" s="361">
        <v>552</v>
      </c>
      <c r="P14" s="183">
        <f t="shared" si="9"/>
        <v>0.47318840579710142</v>
      </c>
      <c r="Q14" s="361">
        <v>241</v>
      </c>
      <c r="R14" s="361">
        <v>119</v>
      </c>
      <c r="S14" s="112">
        <v>12224364.5</v>
      </c>
      <c r="T14" s="110">
        <f t="shared" si="12"/>
        <v>15633902</v>
      </c>
      <c r="U14" s="112">
        <v>9319562</v>
      </c>
      <c r="V14" s="112">
        <v>6314340</v>
      </c>
      <c r="W14" s="185">
        <f t="shared" si="10"/>
        <v>0.40388765389472187</v>
      </c>
    </row>
    <row r="15" spans="1:220" s="71" customFormat="1">
      <c r="A15" s="90" t="s">
        <v>83</v>
      </c>
      <c r="B15" s="361">
        <v>31</v>
      </c>
      <c r="C15" s="361">
        <v>9.5</v>
      </c>
      <c r="D15" s="108">
        <f t="shared" si="13"/>
        <v>40.5</v>
      </c>
      <c r="E15" s="109">
        <f t="shared" si="8"/>
        <v>18</v>
      </c>
      <c r="F15" s="109">
        <f t="shared" si="11"/>
        <v>13</v>
      </c>
      <c r="G15" s="113"/>
      <c r="H15" s="113"/>
      <c r="I15" s="361">
        <v>185</v>
      </c>
      <c r="J15" s="361">
        <v>240</v>
      </c>
      <c r="K15" s="108">
        <f t="shared" si="14"/>
        <v>425</v>
      </c>
      <c r="L15" s="361">
        <v>96</v>
      </c>
      <c r="M15" s="109">
        <f t="shared" si="15"/>
        <v>281</v>
      </c>
      <c r="N15" s="361">
        <v>35</v>
      </c>
      <c r="O15" s="361">
        <v>543.32000000000005</v>
      </c>
      <c r="P15" s="183">
        <f t="shared" si="9"/>
        <v>0.51719060590443933</v>
      </c>
      <c r="Q15" s="361">
        <v>355</v>
      </c>
      <c r="R15" s="361">
        <v>121</v>
      </c>
      <c r="S15" s="112">
        <v>12233034</v>
      </c>
      <c r="T15" s="110">
        <f t="shared" si="12"/>
        <v>15392662</v>
      </c>
      <c r="U15" s="112">
        <v>9355231</v>
      </c>
      <c r="V15" s="112">
        <v>6037431</v>
      </c>
      <c r="W15" s="185">
        <f t="shared" si="10"/>
        <v>0.39222786805816956</v>
      </c>
    </row>
    <row r="16" spans="1:220" s="71" customFormat="1">
      <c r="A16" s="90" t="s">
        <v>84</v>
      </c>
      <c r="B16" s="361">
        <v>33</v>
      </c>
      <c r="C16" s="361">
        <v>6.5</v>
      </c>
      <c r="D16" s="108">
        <f t="shared" si="13"/>
        <v>39.5</v>
      </c>
      <c r="E16" s="109">
        <f t="shared" si="8"/>
        <v>17</v>
      </c>
      <c r="F16" s="109">
        <f t="shared" si="11"/>
        <v>15</v>
      </c>
      <c r="G16" s="113"/>
      <c r="H16" s="113"/>
      <c r="I16" s="361">
        <v>159</v>
      </c>
      <c r="J16" s="361">
        <v>291</v>
      </c>
      <c r="K16" s="108">
        <f t="shared" si="14"/>
        <v>450</v>
      </c>
      <c r="L16" s="361">
        <v>116.4</v>
      </c>
      <c r="M16" s="109">
        <f t="shared" si="15"/>
        <v>275.39999999999998</v>
      </c>
      <c r="N16" s="361">
        <v>64</v>
      </c>
      <c r="O16" s="361">
        <v>575</v>
      </c>
      <c r="P16" s="183">
        <f t="shared" si="9"/>
        <v>0.47895652173913039</v>
      </c>
      <c r="Q16" s="361">
        <v>216</v>
      </c>
      <c r="R16" s="361">
        <v>117</v>
      </c>
      <c r="S16" s="112">
        <v>10710499</v>
      </c>
      <c r="T16" s="110">
        <f t="shared" si="12"/>
        <v>15418933</v>
      </c>
      <c r="U16" s="112">
        <v>8614594</v>
      </c>
      <c r="V16" s="112">
        <v>6804339</v>
      </c>
      <c r="W16" s="185">
        <f t="shared" si="10"/>
        <v>0.44129765658881842</v>
      </c>
    </row>
    <row r="17" spans="1:23" s="71" customFormat="1">
      <c r="A17" s="90">
        <v>2007</v>
      </c>
      <c r="B17" s="361">
        <v>32</v>
      </c>
      <c r="C17" s="361">
        <v>6.5</v>
      </c>
      <c r="D17" s="194">
        <f t="shared" si="13"/>
        <v>38.5</v>
      </c>
      <c r="E17" s="109">
        <f t="shared" si="8"/>
        <v>16</v>
      </c>
      <c r="F17" s="109">
        <f t="shared" si="11"/>
        <v>14</v>
      </c>
      <c r="G17" s="113"/>
      <c r="H17" s="113"/>
      <c r="I17" s="361">
        <v>156</v>
      </c>
      <c r="J17" s="361">
        <v>275</v>
      </c>
      <c r="K17" s="194">
        <f t="shared" si="14"/>
        <v>431</v>
      </c>
      <c r="L17" s="361">
        <v>110</v>
      </c>
      <c r="M17" s="109">
        <f t="shared" si="15"/>
        <v>266</v>
      </c>
      <c r="N17" s="361">
        <v>65</v>
      </c>
      <c r="O17" s="361">
        <v>524</v>
      </c>
      <c r="P17" s="183">
        <f t="shared" si="9"/>
        <v>0.50763358778625955</v>
      </c>
      <c r="Q17" s="361">
        <v>201</v>
      </c>
      <c r="R17" s="361">
        <v>112</v>
      </c>
      <c r="S17" s="208">
        <v>9465947</v>
      </c>
      <c r="T17" s="110">
        <f>SUM(U17,V17)</f>
        <v>14918492</v>
      </c>
      <c r="U17" s="208">
        <v>8399526</v>
      </c>
      <c r="V17" s="208">
        <v>6518966</v>
      </c>
      <c r="W17" s="185">
        <f t="shared" si="10"/>
        <v>0.4369721819068576</v>
      </c>
    </row>
    <row r="18" spans="1:23" s="71" customFormat="1">
      <c r="A18" s="90">
        <v>2006</v>
      </c>
      <c r="B18" s="361">
        <v>31</v>
      </c>
      <c r="C18" s="361">
        <v>5.5</v>
      </c>
      <c r="D18" s="194">
        <f t="shared" si="13"/>
        <v>36.5</v>
      </c>
      <c r="E18" s="109">
        <f t="shared" si="8"/>
        <v>15</v>
      </c>
      <c r="F18" s="109">
        <f t="shared" si="11"/>
        <v>13</v>
      </c>
      <c r="G18" s="113"/>
      <c r="H18" s="113"/>
      <c r="I18" s="361">
        <v>126</v>
      </c>
      <c r="J18" s="361">
        <v>256</v>
      </c>
      <c r="K18" s="194">
        <f t="shared" si="14"/>
        <v>382</v>
      </c>
      <c r="L18" s="361">
        <v>102</v>
      </c>
      <c r="M18" s="109">
        <f t="shared" si="15"/>
        <v>228</v>
      </c>
      <c r="N18" s="361">
        <v>53</v>
      </c>
      <c r="O18" s="361">
        <v>468</v>
      </c>
      <c r="P18" s="183">
        <f t="shared" si="9"/>
        <v>0.48717948717948717</v>
      </c>
      <c r="Q18" s="361">
        <v>209</v>
      </c>
      <c r="R18" s="361">
        <v>145</v>
      </c>
      <c r="S18" s="192">
        <v>9584963</v>
      </c>
      <c r="T18" s="110">
        <f>SUM(U18,V18)</f>
        <v>10331987</v>
      </c>
      <c r="U18" s="192">
        <v>8003128</v>
      </c>
      <c r="V18" s="192">
        <v>2328859</v>
      </c>
      <c r="W18" s="185">
        <f t="shared" si="10"/>
        <v>0.2254028194189559</v>
      </c>
    </row>
    <row r="19" spans="1:23" s="71" customFormat="1">
      <c r="A19" s="90">
        <v>2005</v>
      </c>
      <c r="B19" s="361">
        <v>11</v>
      </c>
      <c r="C19" s="361">
        <v>4.5</v>
      </c>
      <c r="D19" s="194">
        <f t="shared" si="13"/>
        <v>15.5</v>
      </c>
      <c r="E19" s="109">
        <f t="shared" si="8"/>
        <v>47</v>
      </c>
      <c r="F19" s="109">
        <f t="shared" si="11"/>
        <v>33</v>
      </c>
      <c r="G19" s="113"/>
      <c r="H19" s="113"/>
      <c r="I19" s="361">
        <v>160</v>
      </c>
      <c r="J19" s="361">
        <v>233</v>
      </c>
      <c r="K19" s="194">
        <f t="shared" si="14"/>
        <v>393</v>
      </c>
      <c r="L19" s="361">
        <v>93</v>
      </c>
      <c r="M19" s="109">
        <f t="shared" si="15"/>
        <v>253</v>
      </c>
      <c r="N19" s="361">
        <v>16</v>
      </c>
      <c r="O19" s="361">
        <v>518</v>
      </c>
      <c r="P19" s="183">
        <f t="shared" si="9"/>
        <v>0.48841698841698844</v>
      </c>
      <c r="Q19" s="361">
        <v>185</v>
      </c>
      <c r="R19" s="361">
        <v>176</v>
      </c>
      <c r="S19" s="192">
        <v>9626251</v>
      </c>
      <c r="T19" s="110">
        <f>SUM(U19,V19)</f>
        <v>13423519</v>
      </c>
      <c r="U19" s="192">
        <v>7999595</v>
      </c>
      <c r="V19" s="192">
        <v>5423924</v>
      </c>
      <c r="W19" s="185">
        <f t="shared" si="10"/>
        <v>0.40406125994234449</v>
      </c>
    </row>
    <row r="20" spans="1:23" s="71" customFormat="1">
      <c r="A20" s="90">
        <v>2004</v>
      </c>
      <c r="B20" s="195">
        <v>10</v>
      </c>
      <c r="C20" s="195">
        <v>5</v>
      </c>
      <c r="D20" s="194">
        <f t="shared" si="13"/>
        <v>15</v>
      </c>
      <c r="E20" s="109">
        <f t="shared" si="8"/>
        <v>54</v>
      </c>
      <c r="F20" s="109">
        <f t="shared" si="11"/>
        <v>36</v>
      </c>
      <c r="G20" s="113"/>
      <c r="H20" s="113"/>
      <c r="I20" s="195">
        <v>129</v>
      </c>
      <c r="J20" s="195">
        <v>228</v>
      </c>
      <c r="K20" s="194">
        <f t="shared" si="14"/>
        <v>357</v>
      </c>
      <c r="L20" s="195">
        <v>91</v>
      </c>
      <c r="M20" s="109">
        <f t="shared" si="15"/>
        <v>220</v>
      </c>
      <c r="N20" s="195">
        <v>33</v>
      </c>
      <c r="O20" s="195">
        <v>544</v>
      </c>
      <c r="P20" s="183">
        <f t="shared" si="9"/>
        <v>0.40441176470588236</v>
      </c>
      <c r="Q20" s="195">
        <v>166</v>
      </c>
      <c r="R20" s="361">
        <v>226</v>
      </c>
      <c r="S20" s="192">
        <v>8975370</v>
      </c>
      <c r="T20" s="110">
        <f>SUM(U20,V20)</f>
        <v>13744975</v>
      </c>
      <c r="U20" s="192">
        <v>8118905</v>
      </c>
      <c r="V20" s="192">
        <v>5626070</v>
      </c>
      <c r="W20" s="185">
        <f t="shared" si="10"/>
        <v>0.40931831451130324</v>
      </c>
    </row>
    <row r="21" spans="1:23" s="71" customFormat="1">
      <c r="A21" s="90">
        <v>2003</v>
      </c>
      <c r="B21" s="195">
        <v>10</v>
      </c>
      <c r="C21" s="195">
        <v>2</v>
      </c>
      <c r="D21" s="194">
        <f t="shared" si="13"/>
        <v>12</v>
      </c>
      <c r="E21" s="109">
        <f t="shared" si="8"/>
        <v>60</v>
      </c>
      <c r="F21" s="109">
        <f t="shared" si="11"/>
        <v>50</v>
      </c>
      <c r="G21" s="113"/>
      <c r="H21" s="113"/>
      <c r="I21" s="195">
        <v>120</v>
      </c>
      <c r="J21" s="195">
        <v>210</v>
      </c>
      <c r="K21" s="194">
        <f t="shared" si="14"/>
        <v>330</v>
      </c>
      <c r="L21" s="195">
        <v>84</v>
      </c>
      <c r="M21" s="109">
        <f t="shared" si="15"/>
        <v>204</v>
      </c>
      <c r="N21" s="195">
        <v>19</v>
      </c>
      <c r="O21" s="195">
        <v>599</v>
      </c>
      <c r="P21" s="183">
        <f t="shared" si="9"/>
        <v>0.34056761268781305</v>
      </c>
      <c r="Q21" s="195">
        <v>149</v>
      </c>
      <c r="R21" s="361">
        <v>252</v>
      </c>
      <c r="S21" s="192">
        <v>9434040</v>
      </c>
      <c r="T21" s="110">
        <f>SUM(U21:V21)</f>
        <v>13623875</v>
      </c>
      <c r="U21" s="192">
        <v>8071424</v>
      </c>
      <c r="V21" s="192">
        <v>5552451</v>
      </c>
      <c r="W21" s="185">
        <f t="shared" si="10"/>
        <v>0.40755299061390388</v>
      </c>
    </row>
    <row r="22" spans="1:23" s="71" customFormat="1">
      <c r="A22" s="90">
        <v>2002</v>
      </c>
      <c r="B22" s="195">
        <v>10</v>
      </c>
      <c r="C22" s="195">
        <f>ROUND(4.5, 0)</f>
        <v>5</v>
      </c>
      <c r="D22" s="194">
        <f t="shared" si="13"/>
        <v>15</v>
      </c>
      <c r="E22" s="109">
        <f t="shared" si="8"/>
        <v>59</v>
      </c>
      <c r="F22" s="109">
        <f t="shared" si="11"/>
        <v>39</v>
      </c>
      <c r="G22" s="113"/>
      <c r="H22" s="113"/>
      <c r="I22" s="195">
        <v>91</v>
      </c>
      <c r="J22" s="195">
        <v>184</v>
      </c>
      <c r="K22" s="194">
        <f t="shared" si="14"/>
        <v>275</v>
      </c>
      <c r="L22" s="195">
        <f>ROUND(73.6, 0)</f>
        <v>74</v>
      </c>
      <c r="M22" s="109">
        <f t="shared" si="15"/>
        <v>165</v>
      </c>
      <c r="N22" s="195">
        <v>22</v>
      </c>
      <c r="O22" s="195">
        <f>ROUND(587, 0)</f>
        <v>587</v>
      </c>
      <c r="P22" s="183">
        <f t="shared" si="9"/>
        <v>0.28109028960817717</v>
      </c>
      <c r="Q22" s="195">
        <v>111</v>
      </c>
      <c r="R22" s="361">
        <v>330</v>
      </c>
      <c r="S22" s="192">
        <v>10377972</v>
      </c>
      <c r="T22" s="110">
        <f>SUM(U22:V22)</f>
        <v>10818036</v>
      </c>
      <c r="U22" s="192">
        <v>7668070</v>
      </c>
      <c r="V22" s="192">
        <v>3149966</v>
      </c>
      <c r="W22" s="185">
        <f t="shared" si="10"/>
        <v>0.29117725250683213</v>
      </c>
    </row>
    <row r="23" spans="1:23" s="71" customFormat="1">
      <c r="A23" s="701" t="s">
        <v>100</v>
      </c>
      <c r="B23" s="702"/>
      <c r="C23" s="702"/>
      <c r="D23" s="702"/>
      <c r="E23" s="702"/>
      <c r="F23" s="702"/>
      <c r="G23" s="702"/>
      <c r="H23" s="702"/>
      <c r="I23" s="702"/>
      <c r="J23" s="702"/>
      <c r="K23" s="702"/>
      <c r="L23" s="702"/>
      <c r="M23" s="702"/>
      <c r="N23" s="702"/>
      <c r="O23" s="702"/>
      <c r="P23" s="702"/>
      <c r="Q23" s="702"/>
      <c r="R23" s="702"/>
      <c r="S23" s="702"/>
      <c r="T23" s="702"/>
      <c r="U23" s="702"/>
      <c r="V23" s="702"/>
      <c r="W23" s="702"/>
    </row>
    <row r="24" spans="1:23" s="79" customFormat="1">
      <c r="A24" s="674" t="s">
        <v>151</v>
      </c>
      <c r="B24" s="703"/>
      <c r="C24" s="703"/>
      <c r="D24" s="703"/>
      <c r="E24" s="703"/>
      <c r="F24" s="703"/>
      <c r="G24" s="703"/>
      <c r="H24" s="703"/>
      <c r="I24" s="703"/>
      <c r="J24" s="703"/>
      <c r="K24" s="703"/>
      <c r="L24" s="703"/>
      <c r="M24" s="703"/>
      <c r="N24" s="703"/>
      <c r="O24" s="703"/>
      <c r="P24" s="703"/>
      <c r="Q24" s="703"/>
      <c r="R24" s="703"/>
      <c r="S24" s="703"/>
      <c r="T24" s="703"/>
      <c r="U24" s="703"/>
      <c r="V24" s="703"/>
      <c r="W24" s="703"/>
    </row>
    <row r="25" spans="1:23" s="14" customFormat="1">
      <c r="A25" s="686" t="s">
        <v>182</v>
      </c>
      <c r="B25" s="658"/>
      <c r="C25" s="658"/>
      <c r="D25" s="658"/>
      <c r="E25" s="658"/>
      <c r="F25" s="658"/>
      <c r="G25" s="658"/>
      <c r="H25" s="658"/>
      <c r="I25" s="658"/>
      <c r="J25" s="658"/>
      <c r="K25" s="658"/>
      <c r="L25" s="658"/>
      <c r="M25" s="658"/>
      <c r="N25" s="658"/>
      <c r="O25" s="658"/>
      <c r="P25" s="658"/>
      <c r="Q25" s="658"/>
      <c r="R25" s="658"/>
      <c r="S25" s="658"/>
      <c r="T25" s="658"/>
      <c r="U25" s="658"/>
      <c r="V25" s="658"/>
      <c r="W25" s="658"/>
    </row>
    <row r="26" spans="1:23" s="14" customFormat="1">
      <c r="A26" s="686" t="s">
        <v>183</v>
      </c>
      <c r="B26" s="658"/>
      <c r="C26" s="658"/>
      <c r="D26" s="658"/>
      <c r="E26" s="658"/>
      <c r="F26" s="658"/>
      <c r="G26" s="658"/>
      <c r="H26" s="658"/>
      <c r="I26" s="658"/>
      <c r="J26" s="658"/>
      <c r="K26" s="658"/>
      <c r="L26" s="658"/>
      <c r="M26" s="658"/>
      <c r="N26" s="658"/>
      <c r="O26" s="658"/>
      <c r="P26" s="658"/>
      <c r="Q26" s="658"/>
      <c r="R26" s="658"/>
      <c r="S26" s="658"/>
      <c r="T26" s="658"/>
      <c r="U26" s="658"/>
      <c r="V26" s="658"/>
      <c r="W26" s="658"/>
    </row>
    <row r="27" spans="1:23" s="14" customFormat="1"/>
    <row r="28" spans="1:23" s="14" customFormat="1"/>
    <row r="29" spans="1:23" s="14" customFormat="1"/>
    <row r="30" spans="1:23" s="14" customFormat="1"/>
    <row r="31" spans="1:23" s="14" customFormat="1"/>
    <row r="32" spans="1:23" s="14" customFormat="1"/>
    <row r="33" s="14" customFormat="1"/>
    <row r="34" s="14" customFormat="1"/>
  </sheetData>
  <mergeCells count="4">
    <mergeCell ref="A23:W23"/>
    <mergeCell ref="A24:W24"/>
    <mergeCell ref="A25:W25"/>
    <mergeCell ref="A26:W26"/>
  </mergeCells>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HL32"/>
  <sheetViews>
    <sheetView zoomScaleNormal="100" workbookViewId="0">
      <selection activeCell="G29" sqref="G29"/>
    </sheetView>
  </sheetViews>
  <sheetFormatPr defaultColWidth="8.85546875" defaultRowHeight="15"/>
  <cols>
    <col min="1" max="1" width="10.140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70</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16" customFormat="1" ht="15.95" customHeight="1">
      <c r="A3" s="417">
        <v>2021</v>
      </c>
      <c r="B3" s="412">
        <v>11</v>
      </c>
      <c r="C3" s="412">
        <v>12.67</v>
      </c>
      <c r="D3" s="410">
        <f>SUM(B3:C3)</f>
        <v>23.67</v>
      </c>
      <c r="E3" s="411">
        <f>ROUND((O3/B3), 0)</f>
        <v>24</v>
      </c>
      <c r="F3" s="411">
        <f>ROUND((O3/D3), 0)</f>
        <v>11</v>
      </c>
      <c r="G3" s="412">
        <v>11</v>
      </c>
      <c r="H3" s="412">
        <v>12.57</v>
      </c>
      <c r="I3" s="412">
        <v>117</v>
      </c>
      <c r="J3" s="412">
        <v>28</v>
      </c>
      <c r="K3" s="410">
        <f>I3+J3</f>
        <v>145</v>
      </c>
      <c r="L3" s="412">
        <v>18.079999999999998</v>
      </c>
      <c r="M3" s="429">
        <f>(I3+L3)</f>
        <v>135.07999999999998</v>
      </c>
      <c r="N3" s="412">
        <v>32</v>
      </c>
      <c r="O3" s="412">
        <v>268.13</v>
      </c>
      <c r="P3" s="413">
        <v>0.50370000000000004</v>
      </c>
      <c r="Q3" s="412">
        <v>37</v>
      </c>
      <c r="R3" s="412">
        <v>55</v>
      </c>
      <c r="S3" s="440">
        <v>3861066</v>
      </c>
      <c r="T3" s="572">
        <f>SUM(U3:V3)</f>
        <v>6220199</v>
      </c>
      <c r="U3" s="445">
        <v>6220199</v>
      </c>
      <c r="V3" s="474">
        <v>0</v>
      </c>
      <c r="W3" s="444">
        <f>V3/T3</f>
        <v>0</v>
      </c>
      <c r="X3" s="564"/>
    </row>
    <row r="4" spans="1:220" s="416" customFormat="1" ht="15.95" customHeight="1">
      <c r="A4" s="417">
        <v>2020</v>
      </c>
      <c r="B4" s="412">
        <v>11</v>
      </c>
      <c r="C4" s="412">
        <v>10.58</v>
      </c>
      <c r="D4" s="410">
        <f t="shared" ref="D4" si="0">SUM(B4:C4)</f>
        <v>21.58</v>
      </c>
      <c r="E4" s="411">
        <f t="shared" ref="E4" si="1">ROUND((O4/B4), 0)</f>
        <v>20</v>
      </c>
      <c r="F4" s="411">
        <f t="shared" ref="F4" si="2">ROUND((O4/D4), 0)</f>
        <v>10</v>
      </c>
      <c r="G4" s="412">
        <v>11</v>
      </c>
      <c r="H4" s="412">
        <v>10.58</v>
      </c>
      <c r="I4" s="412">
        <v>91</v>
      </c>
      <c r="J4" s="412">
        <v>22</v>
      </c>
      <c r="K4" s="410">
        <f>I4+J4</f>
        <v>113</v>
      </c>
      <c r="L4" s="412">
        <v>13.04</v>
      </c>
      <c r="M4" s="429">
        <f>(I4+L4)</f>
        <v>104.03999999999999</v>
      </c>
      <c r="N4" s="412">
        <v>27</v>
      </c>
      <c r="O4" s="412">
        <v>224.1</v>
      </c>
      <c r="P4" s="413">
        <f t="shared" ref="P4" si="3">M4/O4</f>
        <v>0.46425702811244979</v>
      </c>
      <c r="Q4" s="412">
        <v>55</v>
      </c>
      <c r="R4" s="412">
        <v>43</v>
      </c>
      <c r="S4" s="440">
        <v>3735074</v>
      </c>
      <c r="T4" s="572">
        <f t="shared" ref="T4" si="4">SUM(U4:V4)</f>
        <v>5726955.3300000001</v>
      </c>
      <c r="U4" s="445">
        <v>5726955.3300000001</v>
      </c>
      <c r="V4" s="474">
        <v>0</v>
      </c>
      <c r="W4" s="444">
        <f>V4/T4</f>
        <v>0</v>
      </c>
      <c r="X4" s="564"/>
    </row>
    <row r="5" spans="1:220">
      <c r="A5" s="417">
        <v>2019</v>
      </c>
      <c r="B5" s="412">
        <v>11</v>
      </c>
      <c r="C5" s="412">
        <v>10.23</v>
      </c>
      <c r="D5" s="429">
        <f>SUM(B5:C5)</f>
        <v>21.23</v>
      </c>
      <c r="E5" s="429">
        <f>ROUND((O5/B5),0)</f>
        <v>18</v>
      </c>
      <c r="F5" s="429">
        <f>ROUND((O5/D5),0)</f>
        <v>9</v>
      </c>
      <c r="G5" s="412">
        <v>11</v>
      </c>
      <c r="H5" s="412">
        <v>10.23</v>
      </c>
      <c r="I5" s="412">
        <v>81</v>
      </c>
      <c r="J5" s="412">
        <v>27</v>
      </c>
      <c r="K5" s="429">
        <f>SUM(I5:J5)</f>
        <v>108</v>
      </c>
      <c r="L5" s="412">
        <v>16.170000000000002</v>
      </c>
      <c r="M5" s="429">
        <f>(I5+L5)</f>
        <v>97.17</v>
      </c>
      <c r="N5" s="412">
        <v>26</v>
      </c>
      <c r="O5" s="412">
        <v>200.12</v>
      </c>
      <c r="P5" s="444">
        <f>M5/O5</f>
        <v>0.48555866480111931</v>
      </c>
      <c r="Q5" s="412">
        <v>46</v>
      </c>
      <c r="R5" s="412">
        <v>38</v>
      </c>
      <c r="S5" s="445">
        <v>3128481</v>
      </c>
      <c r="T5" s="431">
        <f>SUM(U5:V5)</f>
        <v>5049628</v>
      </c>
      <c r="U5" s="474">
        <v>5003884</v>
      </c>
      <c r="V5" s="474">
        <v>45744</v>
      </c>
      <c r="W5" s="444">
        <f>V5/T5</f>
        <v>9.0588851297560922E-3</v>
      </c>
    </row>
    <row r="6" spans="1:220" s="17" customFormat="1">
      <c r="A6" s="33">
        <v>2018</v>
      </c>
      <c r="B6" s="20">
        <v>10</v>
      </c>
      <c r="C6" s="20">
        <v>7.2</v>
      </c>
      <c r="D6" s="29">
        <f>SUM(B6:C6)</f>
        <v>17.2</v>
      </c>
      <c r="E6" s="172">
        <f>ROUND((O6/B6), 0)</f>
        <v>18</v>
      </c>
      <c r="F6" s="172">
        <f>ROUND((O6/D6), 0)</f>
        <v>10</v>
      </c>
      <c r="G6" s="20">
        <v>10</v>
      </c>
      <c r="H6" s="20">
        <v>7.2</v>
      </c>
      <c r="I6" s="20">
        <v>84</v>
      </c>
      <c r="J6" s="20">
        <v>24</v>
      </c>
      <c r="K6" s="29">
        <f t="shared" ref="K6" si="5">SUM(I6:J6)</f>
        <v>108</v>
      </c>
      <c r="L6" s="20">
        <v>12.9</v>
      </c>
      <c r="M6" s="172">
        <f>(I6+L6)</f>
        <v>96.9</v>
      </c>
      <c r="N6" s="20">
        <v>18</v>
      </c>
      <c r="O6" s="20">
        <v>177.16</v>
      </c>
      <c r="P6" s="183">
        <f>M6/O6</f>
        <v>0.54696319710995711</v>
      </c>
      <c r="Q6" s="20">
        <v>71</v>
      </c>
      <c r="R6" s="20">
        <v>21</v>
      </c>
      <c r="S6" s="24">
        <v>2803726</v>
      </c>
      <c r="T6" s="30">
        <f>SUM(U6:V6)</f>
        <v>4454900</v>
      </c>
      <c r="U6" s="24">
        <v>4416810</v>
      </c>
      <c r="V6" s="24">
        <v>38090</v>
      </c>
      <c r="W6" s="185">
        <f>V6/T6</f>
        <v>8.5501358055175194E-3</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10</v>
      </c>
      <c r="C7" s="20">
        <v>7</v>
      </c>
      <c r="D7" s="34">
        <f>SUM(B7:C7)</f>
        <v>17</v>
      </c>
      <c r="E7" s="34">
        <f>ROUND((O7/B7), 0)</f>
        <v>17</v>
      </c>
      <c r="F7" s="34">
        <f>ROUND((O7/D7), 0)</f>
        <v>10</v>
      </c>
      <c r="G7" s="20">
        <v>9</v>
      </c>
      <c r="H7" s="20">
        <v>7</v>
      </c>
      <c r="I7" s="20">
        <v>77</v>
      </c>
      <c r="J7" s="20">
        <v>58</v>
      </c>
      <c r="K7" s="34">
        <f>SUM(I7:J7)</f>
        <v>135</v>
      </c>
      <c r="L7" s="20">
        <v>33</v>
      </c>
      <c r="M7" s="36">
        <f>(I7+L7)</f>
        <v>110</v>
      </c>
      <c r="N7" s="344">
        <v>26</v>
      </c>
      <c r="O7" s="344">
        <v>174</v>
      </c>
      <c r="P7" s="183">
        <f t="shared" ref="P7:P22" si="6">M7/O7</f>
        <v>0.63218390804597702</v>
      </c>
      <c r="Q7" s="20">
        <v>63</v>
      </c>
      <c r="R7" s="20">
        <v>4</v>
      </c>
      <c r="S7" s="300">
        <v>2955719.32</v>
      </c>
      <c r="T7" s="35">
        <f>SUM(U7:V7)</f>
        <v>3748869.42</v>
      </c>
      <c r="U7" s="341">
        <v>3743869.42</v>
      </c>
      <c r="V7" s="24">
        <v>5000</v>
      </c>
      <c r="W7" s="185">
        <f t="shared" ref="W7:W22" si="7">V7/T7</f>
        <v>1.3337354385632349E-3</v>
      </c>
    </row>
    <row r="8" spans="1:220" s="93" customFormat="1">
      <c r="A8" s="143">
        <v>2016</v>
      </c>
      <c r="B8" s="63">
        <v>10</v>
      </c>
      <c r="C8" s="63">
        <v>5</v>
      </c>
      <c r="D8" s="81">
        <f>B8+C8</f>
        <v>15</v>
      </c>
      <c r="E8" s="82">
        <f>ROUND((O8/B8), 0)</f>
        <v>15</v>
      </c>
      <c r="F8" s="82">
        <f>ROUND((O8/D8), 0)</f>
        <v>10</v>
      </c>
      <c r="G8" s="63">
        <v>9</v>
      </c>
      <c r="H8" s="63">
        <v>5</v>
      </c>
      <c r="I8" s="63">
        <v>82</v>
      </c>
      <c r="J8" s="63">
        <v>61</v>
      </c>
      <c r="K8" s="81">
        <f>I8+J8</f>
        <v>143</v>
      </c>
      <c r="L8" s="63">
        <v>37</v>
      </c>
      <c r="M8" s="82">
        <f>I8+L8</f>
        <v>119</v>
      </c>
      <c r="N8" s="63">
        <v>35</v>
      </c>
      <c r="O8" s="63">
        <v>150</v>
      </c>
      <c r="P8" s="183">
        <f t="shared" si="6"/>
        <v>0.79333333333333333</v>
      </c>
      <c r="Q8" s="63">
        <v>74</v>
      </c>
      <c r="R8" s="63">
        <v>0</v>
      </c>
      <c r="S8" s="64">
        <v>3336412</v>
      </c>
      <c r="T8" s="85">
        <f>SUM(U8:V8)</f>
        <v>3336412</v>
      </c>
      <c r="U8" s="64">
        <v>3336412</v>
      </c>
      <c r="V8" s="64">
        <v>0</v>
      </c>
      <c r="W8" s="185">
        <f t="shared" si="7"/>
        <v>0</v>
      </c>
    </row>
    <row r="9" spans="1:220" s="79" customFormat="1">
      <c r="A9" s="281">
        <v>2015</v>
      </c>
      <c r="B9" s="161">
        <v>8</v>
      </c>
      <c r="C9" s="161">
        <v>10</v>
      </c>
      <c r="D9" s="158">
        <v>18</v>
      </c>
      <c r="E9" s="158">
        <v>18.5</v>
      </c>
      <c r="F9" s="158">
        <v>8.1999999999999993</v>
      </c>
      <c r="G9" s="111"/>
      <c r="H9" s="111"/>
      <c r="I9" s="161">
        <v>93</v>
      </c>
      <c r="J9" s="161">
        <v>72</v>
      </c>
      <c r="K9" s="158">
        <v>165</v>
      </c>
      <c r="L9" s="161">
        <v>48</v>
      </c>
      <c r="M9" s="158">
        <v>141.19999999999999</v>
      </c>
      <c r="N9" s="161">
        <v>39</v>
      </c>
      <c r="O9" s="161">
        <v>148.1</v>
      </c>
      <c r="P9" s="183">
        <f t="shared" si="6"/>
        <v>0.95340985820391622</v>
      </c>
      <c r="Q9" s="161">
        <v>104</v>
      </c>
      <c r="R9" s="161">
        <v>1</v>
      </c>
      <c r="S9" s="243">
        <v>3227743</v>
      </c>
      <c r="T9" s="241">
        <f>SUM(U9:V9)</f>
        <v>3227431</v>
      </c>
      <c r="U9" s="243">
        <v>3137856</v>
      </c>
      <c r="V9" s="243">
        <v>89575</v>
      </c>
      <c r="W9" s="185">
        <f t="shared" si="7"/>
        <v>2.775427267074029E-2</v>
      </c>
    </row>
    <row r="10" spans="1:220" s="79" customFormat="1">
      <c r="A10" s="281">
        <v>2014</v>
      </c>
      <c r="B10" s="161">
        <v>10</v>
      </c>
      <c r="C10" s="161">
        <v>16</v>
      </c>
      <c r="D10" s="158">
        <v>26</v>
      </c>
      <c r="E10" s="158">
        <v>18.8</v>
      </c>
      <c r="F10" s="158">
        <v>7.2</v>
      </c>
      <c r="G10" s="111"/>
      <c r="H10" s="111"/>
      <c r="I10" s="161">
        <v>124</v>
      </c>
      <c r="J10" s="161">
        <v>91</v>
      </c>
      <c r="K10" s="158">
        <v>215</v>
      </c>
      <c r="L10" s="161">
        <v>61</v>
      </c>
      <c r="M10" s="158">
        <v>184.97</v>
      </c>
      <c r="N10" s="161">
        <v>36</v>
      </c>
      <c r="O10" s="161">
        <v>188.32</v>
      </c>
      <c r="P10" s="183">
        <f t="shared" si="6"/>
        <v>0.98221112999150384</v>
      </c>
      <c r="Q10" s="161">
        <v>112</v>
      </c>
      <c r="R10" s="161">
        <v>1</v>
      </c>
      <c r="S10" s="243">
        <v>3136638</v>
      </c>
      <c r="T10" s="241">
        <v>3096911</v>
      </c>
      <c r="U10" s="243">
        <v>2785124</v>
      </c>
      <c r="V10" s="243">
        <v>311787</v>
      </c>
      <c r="W10" s="185">
        <f t="shared" si="7"/>
        <v>0.10067677114389144</v>
      </c>
    </row>
    <row r="11" spans="1:220" s="71" customFormat="1">
      <c r="A11" s="90">
        <v>2013</v>
      </c>
      <c r="B11" s="361">
        <v>10</v>
      </c>
      <c r="C11" s="361">
        <v>17</v>
      </c>
      <c r="D11" s="108">
        <f>B11+C11</f>
        <v>27</v>
      </c>
      <c r="E11" s="109">
        <f t="shared" ref="E11:E22" si="8">ROUND((O11/B11), 0)</f>
        <v>29</v>
      </c>
      <c r="F11" s="109">
        <f t="shared" ref="F11:F22" si="9">ROUND((O11/D11), 0)</f>
        <v>11</v>
      </c>
      <c r="G11" s="113"/>
      <c r="H11" s="113"/>
      <c r="I11" s="361">
        <v>246</v>
      </c>
      <c r="J11" s="361">
        <v>96</v>
      </c>
      <c r="K11" s="108">
        <f>I11+J11</f>
        <v>342</v>
      </c>
      <c r="L11" s="361">
        <v>64</v>
      </c>
      <c r="M11" s="109">
        <f>I11+L11</f>
        <v>310</v>
      </c>
      <c r="N11" s="361">
        <v>10</v>
      </c>
      <c r="O11" s="361">
        <v>287</v>
      </c>
      <c r="P11" s="183">
        <f t="shared" si="6"/>
        <v>1.0801393728222997</v>
      </c>
      <c r="Q11" s="361">
        <v>34</v>
      </c>
      <c r="R11" s="361">
        <v>2</v>
      </c>
      <c r="S11" s="112">
        <v>3136169</v>
      </c>
      <c r="T11" s="110">
        <f t="shared" ref="T11:T22" si="10">SUM(U11:V11)</f>
        <v>3333753</v>
      </c>
      <c r="U11" s="112">
        <v>2926176</v>
      </c>
      <c r="V11" s="112">
        <v>407577</v>
      </c>
      <c r="W11" s="185">
        <f t="shared" si="7"/>
        <v>0.1222577077545937</v>
      </c>
    </row>
    <row r="12" spans="1:220" s="71" customFormat="1">
      <c r="A12" s="90">
        <v>2012</v>
      </c>
      <c r="B12" s="361">
        <v>10</v>
      </c>
      <c r="C12" s="361">
        <v>13</v>
      </c>
      <c r="D12" s="108">
        <f>B12+C12</f>
        <v>23</v>
      </c>
      <c r="E12" s="109">
        <f t="shared" si="8"/>
        <v>25</v>
      </c>
      <c r="F12" s="109">
        <f t="shared" si="9"/>
        <v>11</v>
      </c>
      <c r="G12" s="113"/>
      <c r="H12" s="113"/>
      <c r="I12" s="361">
        <v>168</v>
      </c>
      <c r="J12" s="361">
        <v>119</v>
      </c>
      <c r="K12" s="108">
        <f>I12+J12</f>
        <v>287</v>
      </c>
      <c r="L12" s="361">
        <v>79.73</v>
      </c>
      <c r="M12" s="109">
        <f>I12+L12</f>
        <v>247.73000000000002</v>
      </c>
      <c r="N12" s="361">
        <v>41</v>
      </c>
      <c r="O12" s="361">
        <v>250.41</v>
      </c>
      <c r="P12" s="183">
        <f t="shared" si="6"/>
        <v>0.98929755201469594</v>
      </c>
      <c r="Q12" s="361">
        <v>145</v>
      </c>
      <c r="R12" s="361">
        <v>3</v>
      </c>
      <c r="S12" s="112">
        <v>2900149</v>
      </c>
      <c r="T12" s="110">
        <f t="shared" si="10"/>
        <v>3260288</v>
      </c>
      <c r="U12" s="112">
        <v>2339040</v>
      </c>
      <c r="V12" s="112">
        <v>921248</v>
      </c>
      <c r="W12" s="185">
        <f t="shared" si="7"/>
        <v>0.28256644811746695</v>
      </c>
    </row>
    <row r="13" spans="1:220" s="71" customFormat="1">
      <c r="A13" s="90" t="s">
        <v>81</v>
      </c>
      <c r="B13" s="361">
        <v>10</v>
      </c>
      <c r="C13" s="361">
        <v>19</v>
      </c>
      <c r="D13" s="108">
        <f t="shared" ref="D13:D22" si="11">SUM(B13:C13)</f>
        <v>29</v>
      </c>
      <c r="E13" s="109">
        <f t="shared" si="8"/>
        <v>27</v>
      </c>
      <c r="F13" s="109">
        <f t="shared" si="9"/>
        <v>9</v>
      </c>
      <c r="G13" s="113"/>
      <c r="H13" s="113"/>
      <c r="I13" s="361">
        <v>128</v>
      </c>
      <c r="J13" s="361">
        <v>202</v>
      </c>
      <c r="K13" s="108">
        <f t="shared" ref="K13:K22" si="12">SUM(I13:J13)</f>
        <v>330</v>
      </c>
      <c r="L13" s="361">
        <v>134</v>
      </c>
      <c r="M13" s="109">
        <f t="shared" ref="M13:M22" si="13">(I13+L13)</f>
        <v>262</v>
      </c>
      <c r="N13" s="361">
        <v>50</v>
      </c>
      <c r="O13" s="361">
        <v>265</v>
      </c>
      <c r="P13" s="183">
        <f t="shared" si="6"/>
        <v>0.98867924528301887</v>
      </c>
      <c r="Q13" s="361">
        <v>150</v>
      </c>
      <c r="R13" s="361">
        <v>1</v>
      </c>
      <c r="S13" s="112">
        <v>2987414</v>
      </c>
      <c r="T13" s="110">
        <f t="shared" si="10"/>
        <v>2976614</v>
      </c>
      <c r="U13" s="112">
        <v>2461694</v>
      </c>
      <c r="V13" s="112">
        <v>514920</v>
      </c>
      <c r="W13" s="185">
        <f t="shared" si="7"/>
        <v>0.17298850304406282</v>
      </c>
    </row>
    <row r="14" spans="1:220" s="71" customFormat="1">
      <c r="A14" s="90" t="s">
        <v>82</v>
      </c>
      <c r="B14" s="361">
        <v>9</v>
      </c>
      <c r="C14" s="361">
        <v>9</v>
      </c>
      <c r="D14" s="108">
        <f t="shared" si="11"/>
        <v>18</v>
      </c>
      <c r="E14" s="109">
        <f t="shared" si="8"/>
        <v>32</v>
      </c>
      <c r="F14" s="109">
        <f t="shared" si="9"/>
        <v>16</v>
      </c>
      <c r="G14" s="113"/>
      <c r="H14" s="113"/>
      <c r="I14" s="361">
        <v>172</v>
      </c>
      <c r="J14" s="361">
        <v>171</v>
      </c>
      <c r="K14" s="108">
        <f t="shared" si="12"/>
        <v>343</v>
      </c>
      <c r="L14" s="361">
        <v>114</v>
      </c>
      <c r="M14" s="109">
        <f t="shared" si="13"/>
        <v>286</v>
      </c>
      <c r="N14" s="361">
        <v>43</v>
      </c>
      <c r="O14" s="361">
        <v>289</v>
      </c>
      <c r="P14" s="183">
        <f t="shared" si="6"/>
        <v>0.98961937716262971</v>
      </c>
      <c r="Q14" s="361">
        <v>151</v>
      </c>
      <c r="R14" s="361">
        <v>2</v>
      </c>
      <c r="S14" s="112">
        <v>2814209</v>
      </c>
      <c r="T14" s="110">
        <f t="shared" si="10"/>
        <v>2814209</v>
      </c>
      <c r="U14" s="112">
        <v>2490634</v>
      </c>
      <c r="V14" s="112">
        <v>323575</v>
      </c>
      <c r="W14" s="185">
        <f t="shared" si="7"/>
        <v>0.11497902252462415</v>
      </c>
    </row>
    <row r="15" spans="1:220" s="71" customFormat="1">
      <c r="A15" s="90" t="s">
        <v>83</v>
      </c>
      <c r="B15" s="361">
        <v>9</v>
      </c>
      <c r="C15" s="361">
        <v>10</v>
      </c>
      <c r="D15" s="108">
        <f t="shared" si="11"/>
        <v>19</v>
      </c>
      <c r="E15" s="109">
        <f t="shared" si="8"/>
        <v>32</v>
      </c>
      <c r="F15" s="109">
        <f t="shared" si="9"/>
        <v>15</v>
      </c>
      <c r="G15" s="113"/>
      <c r="H15" s="113"/>
      <c r="I15" s="361">
        <v>156</v>
      </c>
      <c r="J15" s="361">
        <v>186</v>
      </c>
      <c r="K15" s="108">
        <f t="shared" si="12"/>
        <v>342</v>
      </c>
      <c r="L15" s="361">
        <v>124</v>
      </c>
      <c r="M15" s="109">
        <f t="shared" si="13"/>
        <v>280</v>
      </c>
      <c r="N15" s="361">
        <v>57</v>
      </c>
      <c r="O15" s="361">
        <v>284</v>
      </c>
      <c r="P15" s="183">
        <f t="shared" si="6"/>
        <v>0.9859154929577465</v>
      </c>
      <c r="Q15" s="361">
        <v>157</v>
      </c>
      <c r="R15" s="361">
        <v>1</v>
      </c>
      <c r="S15" s="112">
        <v>2558684</v>
      </c>
      <c r="T15" s="110">
        <f t="shared" si="10"/>
        <v>2558684</v>
      </c>
      <c r="U15" s="112">
        <v>1976998</v>
      </c>
      <c r="V15" s="112">
        <v>581686</v>
      </c>
      <c r="W15" s="185">
        <f t="shared" si="7"/>
        <v>0.22733795966989281</v>
      </c>
    </row>
    <row r="16" spans="1:220" s="71" customFormat="1">
      <c r="A16" s="90" t="s">
        <v>84</v>
      </c>
      <c r="B16" s="361">
        <v>9</v>
      </c>
      <c r="C16" s="361">
        <v>12</v>
      </c>
      <c r="D16" s="108">
        <f t="shared" si="11"/>
        <v>21</v>
      </c>
      <c r="E16" s="109">
        <f t="shared" si="8"/>
        <v>42</v>
      </c>
      <c r="F16" s="109">
        <f t="shared" si="9"/>
        <v>18</v>
      </c>
      <c r="G16" s="113"/>
      <c r="H16" s="113"/>
      <c r="I16" s="361">
        <v>315</v>
      </c>
      <c r="J16" s="361">
        <v>93</v>
      </c>
      <c r="K16" s="108">
        <f t="shared" si="12"/>
        <v>408</v>
      </c>
      <c r="L16" s="361">
        <v>62</v>
      </c>
      <c r="M16" s="109">
        <f t="shared" si="13"/>
        <v>377</v>
      </c>
      <c r="N16" s="361">
        <v>73</v>
      </c>
      <c r="O16" s="361">
        <v>381</v>
      </c>
      <c r="P16" s="183">
        <f t="shared" si="6"/>
        <v>0.98950131233595795</v>
      </c>
      <c r="Q16" s="361">
        <v>149</v>
      </c>
      <c r="R16" s="361">
        <v>0</v>
      </c>
      <c r="S16" s="112">
        <v>2126448</v>
      </c>
      <c r="T16" s="110">
        <f t="shared" si="10"/>
        <v>2326448</v>
      </c>
      <c r="U16" s="112">
        <v>2126448</v>
      </c>
      <c r="V16" s="112">
        <v>200000</v>
      </c>
      <c r="W16" s="185">
        <f t="shared" si="7"/>
        <v>8.5967964897560575E-2</v>
      </c>
    </row>
    <row r="17" spans="1:23" s="71" customFormat="1">
      <c r="A17" s="90">
        <v>2007</v>
      </c>
      <c r="B17" s="361">
        <v>7</v>
      </c>
      <c r="C17" s="361">
        <v>12.33</v>
      </c>
      <c r="D17" s="194">
        <f t="shared" si="11"/>
        <v>19.329999999999998</v>
      </c>
      <c r="E17" s="109">
        <f t="shared" si="8"/>
        <v>43</v>
      </c>
      <c r="F17" s="109">
        <f t="shared" si="9"/>
        <v>15</v>
      </c>
      <c r="G17" s="113"/>
      <c r="H17" s="113"/>
      <c r="I17" s="361">
        <v>130</v>
      </c>
      <c r="J17" s="361">
        <v>252</v>
      </c>
      <c r="K17" s="194">
        <f t="shared" si="12"/>
        <v>382</v>
      </c>
      <c r="L17" s="361">
        <v>169</v>
      </c>
      <c r="M17" s="109">
        <f t="shared" si="13"/>
        <v>299</v>
      </c>
      <c r="N17" s="361">
        <v>67</v>
      </c>
      <c r="O17" s="361">
        <v>299</v>
      </c>
      <c r="P17" s="183">
        <f t="shared" si="6"/>
        <v>1</v>
      </c>
      <c r="Q17" s="361">
        <v>142</v>
      </c>
      <c r="R17" s="361">
        <v>0</v>
      </c>
      <c r="S17" s="208">
        <v>2053418</v>
      </c>
      <c r="T17" s="278">
        <f t="shared" si="10"/>
        <v>2196418</v>
      </c>
      <c r="U17" s="192">
        <v>2053418</v>
      </c>
      <c r="V17" s="208">
        <v>143000</v>
      </c>
      <c r="W17" s="185">
        <f t="shared" si="7"/>
        <v>6.5106004412639126E-2</v>
      </c>
    </row>
    <row r="18" spans="1:23" s="71" customFormat="1">
      <c r="A18" s="90">
        <v>2006</v>
      </c>
      <c r="B18" s="361">
        <v>8</v>
      </c>
      <c r="C18" s="361">
        <v>10</v>
      </c>
      <c r="D18" s="194">
        <f t="shared" si="11"/>
        <v>18</v>
      </c>
      <c r="E18" s="109">
        <f t="shared" si="8"/>
        <v>36</v>
      </c>
      <c r="F18" s="109">
        <f t="shared" si="9"/>
        <v>16</v>
      </c>
      <c r="G18" s="113"/>
      <c r="H18" s="113"/>
      <c r="I18" s="361">
        <v>135</v>
      </c>
      <c r="J18" s="361">
        <v>228</v>
      </c>
      <c r="K18" s="194">
        <f t="shared" si="12"/>
        <v>363</v>
      </c>
      <c r="L18" s="361">
        <v>153</v>
      </c>
      <c r="M18" s="109">
        <f t="shared" si="13"/>
        <v>288</v>
      </c>
      <c r="N18" s="361">
        <v>79</v>
      </c>
      <c r="O18" s="361">
        <v>288</v>
      </c>
      <c r="P18" s="183">
        <f t="shared" si="6"/>
        <v>1</v>
      </c>
      <c r="Q18" s="361">
        <v>102</v>
      </c>
      <c r="R18" s="361">
        <v>0</v>
      </c>
      <c r="S18" s="279">
        <v>1640122.73</v>
      </c>
      <c r="T18" s="280">
        <f t="shared" si="10"/>
        <v>1639460</v>
      </c>
      <c r="U18" s="279">
        <v>1442295</v>
      </c>
      <c r="V18" s="279">
        <v>197165</v>
      </c>
      <c r="W18" s="185">
        <f t="shared" si="7"/>
        <v>0.1202621594915399</v>
      </c>
    </row>
    <row r="19" spans="1:23" s="71" customFormat="1">
      <c r="A19" s="90">
        <v>2005</v>
      </c>
      <c r="B19" s="361">
        <v>8</v>
      </c>
      <c r="C19" s="361">
        <v>8</v>
      </c>
      <c r="D19" s="194">
        <f t="shared" si="11"/>
        <v>16</v>
      </c>
      <c r="E19" s="109">
        <f t="shared" si="8"/>
        <v>18</v>
      </c>
      <c r="F19" s="109">
        <f t="shared" si="9"/>
        <v>9</v>
      </c>
      <c r="G19" s="113"/>
      <c r="H19" s="113"/>
      <c r="I19" s="361">
        <v>74</v>
      </c>
      <c r="J19" s="361">
        <v>191</v>
      </c>
      <c r="K19" s="194">
        <f t="shared" si="12"/>
        <v>265</v>
      </c>
      <c r="L19" s="361">
        <v>64</v>
      </c>
      <c r="M19" s="109">
        <f t="shared" si="13"/>
        <v>138</v>
      </c>
      <c r="N19" s="361">
        <v>67</v>
      </c>
      <c r="O19" s="361">
        <v>141</v>
      </c>
      <c r="P19" s="183">
        <f t="shared" si="6"/>
        <v>0.97872340425531912</v>
      </c>
      <c r="Q19" s="361">
        <v>116</v>
      </c>
      <c r="R19" s="361">
        <v>0</v>
      </c>
      <c r="S19" s="279">
        <v>1337729.1000000001</v>
      </c>
      <c r="T19" s="280">
        <f t="shared" si="10"/>
        <v>1337729.1000000001</v>
      </c>
      <c r="U19" s="279">
        <v>1337729.1000000001</v>
      </c>
      <c r="V19" s="279">
        <v>0</v>
      </c>
      <c r="W19" s="185">
        <f t="shared" si="7"/>
        <v>0</v>
      </c>
    </row>
    <row r="20" spans="1:23" s="71" customFormat="1">
      <c r="A20" s="90">
        <v>2004</v>
      </c>
      <c r="B20" s="195">
        <v>7</v>
      </c>
      <c r="C20" s="195">
        <v>7</v>
      </c>
      <c r="D20" s="194">
        <f t="shared" si="11"/>
        <v>14</v>
      </c>
      <c r="E20" s="109">
        <f t="shared" si="8"/>
        <v>18</v>
      </c>
      <c r="F20" s="109">
        <f t="shared" si="9"/>
        <v>9</v>
      </c>
      <c r="G20" s="113"/>
      <c r="H20" s="113"/>
      <c r="I20" s="195">
        <v>61</v>
      </c>
      <c r="J20" s="195">
        <v>179</v>
      </c>
      <c r="K20" s="194">
        <f t="shared" si="12"/>
        <v>240</v>
      </c>
      <c r="L20" s="195">
        <v>60</v>
      </c>
      <c r="M20" s="109">
        <f t="shared" si="13"/>
        <v>121</v>
      </c>
      <c r="N20" s="195">
        <v>49</v>
      </c>
      <c r="O20" s="195">
        <v>124</v>
      </c>
      <c r="P20" s="183">
        <f t="shared" si="6"/>
        <v>0.97580645161290325</v>
      </c>
      <c r="Q20" s="195">
        <v>90</v>
      </c>
      <c r="R20" s="361">
        <v>0</v>
      </c>
      <c r="S20" s="192">
        <v>1361699</v>
      </c>
      <c r="T20" s="110">
        <f t="shared" si="10"/>
        <v>1361699</v>
      </c>
      <c r="U20" s="192">
        <v>1339815</v>
      </c>
      <c r="V20" s="192">
        <v>21884</v>
      </c>
      <c r="W20" s="185">
        <f t="shared" si="7"/>
        <v>1.6071099413306464E-2</v>
      </c>
    </row>
    <row r="21" spans="1:23" s="71" customFormat="1">
      <c r="A21" s="90">
        <v>2003</v>
      </c>
      <c r="B21" s="195">
        <v>9</v>
      </c>
      <c r="C21" s="195">
        <v>7</v>
      </c>
      <c r="D21" s="194">
        <f t="shared" si="11"/>
        <v>16</v>
      </c>
      <c r="E21" s="109">
        <f t="shared" si="8"/>
        <v>13</v>
      </c>
      <c r="F21" s="109">
        <f t="shared" si="9"/>
        <v>7</v>
      </c>
      <c r="G21" s="113"/>
      <c r="H21" s="113"/>
      <c r="I21" s="195">
        <v>54</v>
      </c>
      <c r="J21" s="195">
        <v>195</v>
      </c>
      <c r="K21" s="194">
        <f t="shared" si="12"/>
        <v>249</v>
      </c>
      <c r="L21" s="195">
        <v>65</v>
      </c>
      <c r="M21" s="109">
        <f t="shared" si="13"/>
        <v>119</v>
      </c>
      <c r="N21" s="195">
        <v>55</v>
      </c>
      <c r="O21" s="195">
        <v>119</v>
      </c>
      <c r="P21" s="183">
        <f t="shared" si="6"/>
        <v>1</v>
      </c>
      <c r="Q21" s="195">
        <v>91</v>
      </c>
      <c r="R21" s="361">
        <v>0</v>
      </c>
      <c r="S21" s="192">
        <v>1476666</v>
      </c>
      <c r="T21" s="110">
        <f t="shared" si="10"/>
        <v>1476670</v>
      </c>
      <c r="U21" s="192">
        <v>1456370</v>
      </c>
      <c r="V21" s="192">
        <v>20300</v>
      </c>
      <c r="W21" s="185">
        <f t="shared" si="7"/>
        <v>1.3747147297635896E-2</v>
      </c>
    </row>
    <row r="22" spans="1:23" s="71" customFormat="1" ht="16.5" customHeight="1">
      <c r="A22" s="90">
        <v>2002</v>
      </c>
      <c r="B22" s="195">
        <v>9</v>
      </c>
      <c r="C22" s="195">
        <f>ROUND(5.7, 0)</f>
        <v>6</v>
      </c>
      <c r="D22" s="194">
        <f t="shared" si="11"/>
        <v>15</v>
      </c>
      <c r="E22" s="109">
        <f t="shared" si="8"/>
        <v>13</v>
      </c>
      <c r="F22" s="109">
        <f t="shared" si="9"/>
        <v>8</v>
      </c>
      <c r="G22" s="113"/>
      <c r="H22" s="113"/>
      <c r="I22" s="195">
        <v>45</v>
      </c>
      <c r="J22" s="195">
        <v>206</v>
      </c>
      <c r="K22" s="194">
        <f t="shared" si="12"/>
        <v>251</v>
      </c>
      <c r="L22" s="195">
        <v>69</v>
      </c>
      <c r="M22" s="109">
        <f t="shared" si="13"/>
        <v>114</v>
      </c>
      <c r="N22" s="195">
        <v>71</v>
      </c>
      <c r="O22" s="195">
        <v>114</v>
      </c>
      <c r="P22" s="183">
        <f t="shared" si="6"/>
        <v>1</v>
      </c>
      <c r="Q22" s="195">
        <v>90</v>
      </c>
      <c r="R22" s="361">
        <v>0</v>
      </c>
      <c r="S22" s="192">
        <v>1327737</v>
      </c>
      <c r="T22" s="110">
        <f t="shared" si="10"/>
        <v>1327737</v>
      </c>
      <c r="U22" s="192">
        <v>1316226</v>
      </c>
      <c r="V22" s="192">
        <v>11511</v>
      </c>
      <c r="W22" s="185">
        <f t="shared" si="7"/>
        <v>8.6696386407850348E-3</v>
      </c>
    </row>
    <row r="23" spans="1:23" s="13" customFormat="1">
      <c r="A23" s="704" t="s">
        <v>152</v>
      </c>
      <c r="B23" s="656"/>
      <c r="C23" s="656"/>
      <c r="D23" s="656"/>
      <c r="E23" s="656"/>
      <c r="F23" s="656"/>
      <c r="G23" s="656"/>
      <c r="H23" s="656"/>
      <c r="I23" s="656"/>
      <c r="J23" s="656"/>
      <c r="K23" s="656"/>
      <c r="L23" s="656"/>
      <c r="M23" s="656"/>
      <c r="N23" s="656"/>
      <c r="O23" s="656"/>
      <c r="P23" s="656"/>
      <c r="Q23" s="656"/>
      <c r="R23" s="656"/>
      <c r="S23" s="656"/>
      <c r="T23" s="656"/>
      <c r="U23" s="656"/>
      <c r="V23" s="656"/>
      <c r="W23" s="656"/>
    </row>
    <row r="24" spans="1:23" s="13" customFormat="1">
      <c r="A24" s="705" t="s">
        <v>184</v>
      </c>
      <c r="B24" s="688"/>
      <c r="C24" s="688"/>
      <c r="D24" s="688"/>
      <c r="E24" s="688"/>
      <c r="F24" s="688"/>
      <c r="G24" s="688"/>
      <c r="H24" s="688"/>
      <c r="I24" s="688"/>
      <c r="J24" s="688"/>
      <c r="K24" s="688"/>
      <c r="L24" s="688"/>
      <c r="M24" s="688"/>
      <c r="N24" s="688"/>
      <c r="O24" s="688"/>
      <c r="P24" s="688"/>
      <c r="Q24" s="688"/>
      <c r="R24" s="688"/>
      <c r="S24" s="688"/>
      <c r="T24" s="688"/>
      <c r="U24" s="688"/>
      <c r="V24" s="688"/>
      <c r="W24" s="689"/>
    </row>
    <row r="25" spans="1:23" s="13" customFormat="1">
      <c r="G25" s="26"/>
      <c r="H25" s="26"/>
    </row>
    <row r="26" spans="1:23" s="13" customFormat="1">
      <c r="G26" s="26"/>
      <c r="H26" s="26"/>
    </row>
    <row r="27" spans="1:23" s="13" customFormat="1">
      <c r="G27" s="26"/>
      <c r="H27" s="26"/>
    </row>
    <row r="28" spans="1:23" s="13" customFormat="1">
      <c r="G28" s="26"/>
      <c r="H28" s="26"/>
    </row>
    <row r="29" spans="1:23" s="14" customFormat="1">
      <c r="G29"/>
      <c r="H29"/>
    </row>
    <row r="30" spans="1:23" s="14" customFormat="1">
      <c r="G30"/>
      <c r="H30"/>
    </row>
    <row r="31" spans="1:23" s="14" customFormat="1">
      <c r="G31"/>
      <c r="H31"/>
    </row>
    <row r="32" spans="1:23" s="14" customFormat="1">
      <c r="G32"/>
      <c r="H32"/>
    </row>
  </sheetData>
  <mergeCells count="2">
    <mergeCell ref="A23:W23"/>
    <mergeCell ref="A24:W24"/>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L1005"/>
  <sheetViews>
    <sheetView workbookViewId="0">
      <selection activeCell="G31" sqref="G31"/>
    </sheetView>
  </sheetViews>
  <sheetFormatPr defaultColWidth="15.140625" defaultRowHeight="15"/>
  <cols>
    <col min="1" max="1" width="12.42578125" style="42" customWidth="1"/>
    <col min="2" max="2" width="8.85546875" style="42" customWidth="1"/>
    <col min="3" max="3" width="7.42578125" style="42" customWidth="1"/>
    <col min="4" max="4" width="8.140625" style="42" customWidth="1"/>
    <col min="5" max="5" width="11.42578125" style="42" customWidth="1"/>
    <col min="6" max="6" width="11.140625" style="42" customWidth="1"/>
    <col min="7" max="7" width="12" style="42" customWidth="1"/>
    <col min="8" max="8" width="12.140625" style="42" customWidth="1"/>
    <col min="9" max="9" width="9.7109375" style="42" customWidth="1"/>
    <col min="10" max="11" width="12" style="42" customWidth="1"/>
    <col min="12" max="12" width="10.7109375" style="42" customWidth="1"/>
    <col min="13" max="14" width="11.42578125" style="42" customWidth="1"/>
    <col min="15" max="15" width="13.140625" style="42" customWidth="1"/>
    <col min="16" max="16" width="14.42578125" style="42" customWidth="1"/>
    <col min="17" max="17" width="10.85546875" style="42" customWidth="1"/>
    <col min="18" max="18" width="9.42578125" style="42" customWidth="1"/>
    <col min="19" max="19" width="12.42578125" style="42" customWidth="1"/>
    <col min="20" max="20" width="11.28515625" style="42" customWidth="1"/>
    <col min="21" max="21" width="12.7109375" style="42" customWidth="1"/>
    <col min="22" max="22" width="11.42578125" style="42" customWidth="1"/>
    <col min="23" max="23" width="11.28515625" style="42" customWidth="1"/>
    <col min="24" max="26" width="7.7109375" style="42" customWidth="1"/>
    <col min="27" max="16384" width="15.140625" style="42"/>
  </cols>
  <sheetData>
    <row r="1" spans="1:220" ht="18.75" customHeight="1">
      <c r="A1" s="39" t="s">
        <v>60</v>
      </c>
      <c r="B1" s="40"/>
      <c r="C1" s="39"/>
      <c r="D1" s="39"/>
      <c r="E1" s="39"/>
      <c r="F1" s="39"/>
      <c r="G1" s="39"/>
      <c r="H1" s="39"/>
      <c r="I1" s="39"/>
      <c r="J1" s="39"/>
      <c r="K1" s="39"/>
      <c r="L1" s="39"/>
      <c r="M1" s="39"/>
      <c r="N1" s="39"/>
      <c r="O1" s="39"/>
      <c r="P1" s="39"/>
      <c r="Q1" s="39"/>
      <c r="R1" s="39"/>
      <c r="S1" s="39"/>
      <c r="T1" s="39"/>
      <c r="U1" s="39"/>
      <c r="V1" s="39"/>
      <c r="W1" s="39"/>
      <c r="X1" s="41"/>
      <c r="Y1" s="41"/>
      <c r="Z1" s="41"/>
    </row>
    <row r="2" spans="1:220" ht="60" customHeight="1">
      <c r="A2" s="43" t="s">
        <v>42</v>
      </c>
      <c r="B2" s="43" t="s">
        <v>25</v>
      </c>
      <c r="C2" s="43" t="s">
        <v>28</v>
      </c>
      <c r="D2" s="43" t="s">
        <v>29</v>
      </c>
      <c r="E2" s="6" t="s">
        <v>108</v>
      </c>
      <c r="F2" s="43" t="s">
        <v>30</v>
      </c>
      <c r="G2" s="43" t="s">
        <v>109</v>
      </c>
      <c r="H2" s="43" t="s">
        <v>110</v>
      </c>
      <c r="I2" s="43" t="s">
        <v>26</v>
      </c>
      <c r="J2" s="43" t="s">
        <v>31</v>
      </c>
      <c r="K2" s="43" t="s">
        <v>32</v>
      </c>
      <c r="L2" s="43" t="s">
        <v>33</v>
      </c>
      <c r="M2" s="43" t="s">
        <v>34</v>
      </c>
      <c r="N2" s="43" t="s">
        <v>35</v>
      </c>
      <c r="O2" s="43" t="s">
        <v>43</v>
      </c>
      <c r="P2" s="43" t="s">
        <v>36</v>
      </c>
      <c r="Q2" s="43" t="s">
        <v>44</v>
      </c>
      <c r="R2" s="43" t="s">
        <v>37</v>
      </c>
      <c r="S2" s="43" t="s">
        <v>38</v>
      </c>
      <c r="T2" s="43" t="s">
        <v>39</v>
      </c>
      <c r="U2" s="43" t="s">
        <v>27</v>
      </c>
      <c r="V2" s="43" t="s">
        <v>40</v>
      </c>
      <c r="W2" s="43" t="s">
        <v>41</v>
      </c>
      <c r="X2" s="44"/>
      <c r="Y2" s="44"/>
      <c r="Z2" s="44"/>
    </row>
    <row r="3" spans="1:220" customFormat="1" ht="15" customHeight="1">
      <c r="A3" s="618">
        <v>2021</v>
      </c>
      <c r="B3" s="619">
        <v>5</v>
      </c>
      <c r="C3" s="620">
        <v>4</v>
      </c>
      <c r="D3" s="621">
        <v>5</v>
      </c>
      <c r="E3" s="429">
        <v>5</v>
      </c>
      <c r="F3" s="622">
        <v>5</v>
      </c>
      <c r="G3" s="623">
        <v>5</v>
      </c>
      <c r="H3" s="623">
        <v>2</v>
      </c>
      <c r="I3" s="623">
        <v>46</v>
      </c>
      <c r="J3" s="623">
        <v>39</v>
      </c>
      <c r="K3" s="622">
        <v>85</v>
      </c>
      <c r="L3" s="623">
        <v>4.5</v>
      </c>
      <c r="M3" s="622">
        <v>50.5</v>
      </c>
      <c r="N3" s="623">
        <v>85</v>
      </c>
      <c r="O3" s="623">
        <v>94</v>
      </c>
      <c r="P3" s="622">
        <v>96.1</v>
      </c>
      <c r="Q3" s="623">
        <v>14</v>
      </c>
      <c r="R3" s="623">
        <v>11</v>
      </c>
      <c r="S3" s="624">
        <v>804772</v>
      </c>
      <c r="T3" s="625">
        <v>804772</v>
      </c>
      <c r="U3" s="626">
        <v>704772</v>
      </c>
      <c r="V3" s="627">
        <v>100000</v>
      </c>
      <c r="W3" s="628">
        <v>1.2E-4</v>
      </c>
      <c r="X3" s="44"/>
      <c r="Y3" s="44"/>
      <c r="Z3" s="44"/>
    </row>
    <row r="4" spans="1:220" customFormat="1" ht="15" customHeight="1">
      <c r="A4" s="629">
        <v>2020</v>
      </c>
      <c r="B4" s="557">
        <v>5</v>
      </c>
      <c r="C4" s="557">
        <v>0</v>
      </c>
      <c r="D4" s="594">
        <v>5</v>
      </c>
      <c r="E4" s="429">
        <v>5</v>
      </c>
      <c r="F4" s="594">
        <v>6</v>
      </c>
      <c r="G4" s="557">
        <v>5</v>
      </c>
      <c r="H4" s="557">
        <v>5</v>
      </c>
      <c r="I4" s="557">
        <v>30</v>
      </c>
      <c r="J4" s="557">
        <v>16</v>
      </c>
      <c r="K4" s="594">
        <v>46</v>
      </c>
      <c r="L4" s="557">
        <v>22</v>
      </c>
      <c r="M4" s="594">
        <v>52</v>
      </c>
      <c r="N4" s="557">
        <v>46</v>
      </c>
      <c r="O4" s="557">
        <v>59</v>
      </c>
      <c r="P4" s="594">
        <v>60.38</v>
      </c>
      <c r="Q4" s="557">
        <v>13</v>
      </c>
      <c r="R4" s="557">
        <v>9</v>
      </c>
      <c r="S4" s="598" t="s">
        <v>210</v>
      </c>
      <c r="T4" s="594" t="s">
        <v>210</v>
      </c>
      <c r="U4" s="557" t="s">
        <v>210</v>
      </c>
      <c r="V4" s="557">
        <v>0</v>
      </c>
      <c r="W4" s="594">
        <v>0</v>
      </c>
      <c r="X4" s="44"/>
      <c r="Y4" s="44"/>
      <c r="Z4" s="44"/>
    </row>
    <row r="5" spans="1:220" s="77" customFormat="1">
      <c r="A5" s="617">
        <v>2019</v>
      </c>
      <c r="B5" s="77">
        <v>5</v>
      </c>
      <c r="C5" s="77">
        <v>0</v>
      </c>
      <c r="D5" s="595">
        <v>5</v>
      </c>
      <c r="E5" s="596">
        <v>6</v>
      </c>
      <c r="F5" s="596">
        <v>4</v>
      </c>
      <c r="G5" s="495">
        <v>6</v>
      </c>
      <c r="H5" s="495">
        <v>5</v>
      </c>
      <c r="I5" s="77">
        <v>25</v>
      </c>
      <c r="J5" s="77">
        <v>13</v>
      </c>
      <c r="K5" s="595">
        <v>38</v>
      </c>
      <c r="L5" s="77">
        <v>9</v>
      </c>
      <c r="M5" s="411">
        <f>(I5+L5)</f>
        <v>34</v>
      </c>
      <c r="N5" s="77">
        <v>55</v>
      </c>
      <c r="O5" s="77">
        <v>62</v>
      </c>
      <c r="P5" s="496">
        <f t="shared" ref="P5" si="0">M5/O5</f>
        <v>0.54838709677419351</v>
      </c>
      <c r="Q5" s="77">
        <v>20</v>
      </c>
      <c r="R5" s="77">
        <v>6</v>
      </c>
      <c r="S5" s="599">
        <v>1041303</v>
      </c>
      <c r="T5" s="597">
        <v>1041303</v>
      </c>
      <c r="U5" s="497">
        <v>1041303</v>
      </c>
      <c r="V5" s="77">
        <v>0</v>
      </c>
      <c r="W5" s="595">
        <f>V6/T6</f>
        <v>0</v>
      </c>
    </row>
    <row r="6" spans="1:220" s="17" customFormat="1">
      <c r="A6" s="33">
        <v>2018</v>
      </c>
      <c r="B6" s="20">
        <v>5</v>
      </c>
      <c r="C6" s="20">
        <v>4</v>
      </c>
      <c r="D6" s="29">
        <f>SUM(B6:C6)</f>
        <v>9</v>
      </c>
      <c r="E6" s="172">
        <f>ROUND((O6/B6), 0)</f>
        <v>12</v>
      </c>
      <c r="F6" s="172">
        <f>ROUND((O6/D6), 0)</f>
        <v>7</v>
      </c>
      <c r="G6" s="20">
        <v>5</v>
      </c>
      <c r="H6" s="20">
        <v>3</v>
      </c>
      <c r="I6" s="20">
        <v>28</v>
      </c>
      <c r="J6" s="20">
        <v>12</v>
      </c>
      <c r="K6" s="29">
        <f t="shared" ref="K6" si="1">SUM(I6:J6)</f>
        <v>40</v>
      </c>
      <c r="L6" s="20">
        <v>6.5</v>
      </c>
      <c r="M6" s="172">
        <f>(I6+L6)</f>
        <v>34.5</v>
      </c>
      <c r="N6" s="20">
        <v>40</v>
      </c>
      <c r="O6" s="20">
        <v>58.86</v>
      </c>
      <c r="P6" s="183">
        <f>M6/O6</f>
        <v>0.58613659531090723</v>
      </c>
      <c r="Q6" s="20">
        <v>27</v>
      </c>
      <c r="R6" s="20">
        <v>12</v>
      </c>
      <c r="S6" s="24">
        <v>1025120</v>
      </c>
      <c r="T6" s="30">
        <f>SUM(U6:V6)</f>
        <v>1025120</v>
      </c>
      <c r="U6" s="24">
        <v>1025120</v>
      </c>
      <c r="V6" s="24">
        <v>0</v>
      </c>
      <c r="W6" s="185">
        <f>V6/T6</f>
        <v>0</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287">
        <v>2017</v>
      </c>
      <c r="B7" s="20">
        <v>7</v>
      </c>
      <c r="C7" s="20">
        <v>2</v>
      </c>
      <c r="D7" s="34">
        <f>SUM(B7:C7)</f>
        <v>9</v>
      </c>
      <c r="E7" s="34">
        <f>ROUND((O7/B7), 0)</f>
        <v>9</v>
      </c>
      <c r="F7" s="34">
        <f>ROUND((O7/D7), 0)</f>
        <v>7</v>
      </c>
      <c r="G7" s="20">
        <v>7</v>
      </c>
      <c r="H7" s="20">
        <v>3</v>
      </c>
      <c r="I7" s="20">
        <v>33</v>
      </c>
      <c r="J7" s="20">
        <v>12</v>
      </c>
      <c r="K7" s="34">
        <f>SUM(I7:J7)</f>
        <v>45</v>
      </c>
      <c r="L7" s="20">
        <v>5.3</v>
      </c>
      <c r="M7" s="36">
        <f>(I7+L7)</f>
        <v>38.299999999999997</v>
      </c>
      <c r="N7" s="344">
        <v>45</v>
      </c>
      <c r="O7" s="344">
        <v>62</v>
      </c>
      <c r="P7" s="183">
        <f t="shared" ref="P7:P22" si="2">M7/O7</f>
        <v>0.61774193548387091</v>
      </c>
      <c r="Q7" s="20">
        <v>28</v>
      </c>
      <c r="R7" s="20">
        <v>8</v>
      </c>
      <c r="S7" s="300">
        <v>1022011</v>
      </c>
      <c r="T7" s="35">
        <f>SUM(U7:V7)</f>
        <v>1022011</v>
      </c>
      <c r="U7" s="341">
        <v>1022011</v>
      </c>
      <c r="V7" s="24">
        <v>0</v>
      </c>
      <c r="W7" s="185">
        <f t="shared" ref="W7:W22" si="3">V7/T7</f>
        <v>0</v>
      </c>
    </row>
    <row r="8" spans="1:220">
      <c r="A8" s="288">
        <v>2016</v>
      </c>
      <c r="B8" s="282">
        <v>7</v>
      </c>
      <c r="C8" s="282">
        <v>0</v>
      </c>
      <c r="D8" s="45">
        <f>B8+C8</f>
        <v>7</v>
      </c>
      <c r="E8" s="46"/>
      <c r="F8" s="46"/>
      <c r="G8" s="282">
        <v>7</v>
      </c>
      <c r="H8" s="282">
        <v>0</v>
      </c>
      <c r="I8" s="282">
        <v>33</v>
      </c>
      <c r="J8" s="282">
        <v>30</v>
      </c>
      <c r="K8" s="45">
        <f>I8+J8</f>
        <v>63</v>
      </c>
      <c r="L8" s="282">
        <v>16</v>
      </c>
      <c r="M8" s="46">
        <f>I8+L8</f>
        <v>49</v>
      </c>
      <c r="N8" s="282">
        <v>63</v>
      </c>
      <c r="O8" s="282">
        <v>63</v>
      </c>
      <c r="P8" s="183">
        <f t="shared" si="2"/>
        <v>0.77777777777777779</v>
      </c>
      <c r="Q8" s="282">
        <v>25</v>
      </c>
      <c r="R8" s="282">
        <v>0</v>
      </c>
      <c r="S8" s="284">
        <v>1022011</v>
      </c>
      <c r="T8" s="47">
        <f>SUM(U8:V8)</f>
        <v>1022011</v>
      </c>
      <c r="U8" s="284">
        <v>1022011</v>
      </c>
      <c r="V8" s="283">
        <v>0</v>
      </c>
      <c r="W8" s="185">
        <f t="shared" si="3"/>
        <v>0</v>
      </c>
      <c r="X8" s="285"/>
      <c r="Y8" s="285"/>
      <c r="Z8" s="285"/>
    </row>
    <row r="9" spans="1:220">
      <c r="A9" s="289">
        <v>2015</v>
      </c>
      <c r="B9" s="48">
        <v>7</v>
      </c>
      <c r="C9" s="48">
        <v>0</v>
      </c>
      <c r="D9" s="45">
        <v>7</v>
      </c>
      <c r="E9" s="45">
        <v>10.4</v>
      </c>
      <c r="F9" s="45">
        <v>10.4</v>
      </c>
      <c r="G9" s="49"/>
      <c r="H9" s="49"/>
      <c r="I9" s="48">
        <v>32</v>
      </c>
      <c r="J9" s="48">
        <v>27</v>
      </c>
      <c r="K9" s="45">
        <v>59</v>
      </c>
      <c r="L9" s="48">
        <v>17</v>
      </c>
      <c r="M9" s="45">
        <v>49.15</v>
      </c>
      <c r="N9" s="48">
        <v>58</v>
      </c>
      <c r="O9" s="48">
        <v>72.78</v>
      </c>
      <c r="P9" s="183">
        <f t="shared" si="2"/>
        <v>0.67532289090409447</v>
      </c>
      <c r="Q9" s="48">
        <v>25</v>
      </c>
      <c r="R9" s="48">
        <v>0</v>
      </c>
      <c r="S9" s="50">
        <v>1213820</v>
      </c>
      <c r="T9" s="51">
        <v>1304836</v>
      </c>
      <c r="U9" s="50">
        <v>1297336</v>
      </c>
      <c r="V9" s="50">
        <v>7500</v>
      </c>
      <c r="W9" s="185">
        <f t="shared" si="3"/>
        <v>5.7478487717996744E-3</v>
      </c>
      <c r="X9" s="19"/>
      <c r="Y9" s="19"/>
      <c r="Z9" s="19"/>
    </row>
    <row r="10" spans="1:220">
      <c r="A10" s="289">
        <v>2014</v>
      </c>
      <c r="B10" s="48">
        <v>7</v>
      </c>
      <c r="C10" s="48">
        <v>3</v>
      </c>
      <c r="D10" s="45">
        <f>B10+C10</f>
        <v>10</v>
      </c>
      <c r="E10" s="46">
        <f t="shared" ref="E10:E22" si="4">ROUND((O10/B10), 0)</f>
        <v>11</v>
      </c>
      <c r="F10" s="46">
        <f t="shared" ref="F10:F22" si="5">ROUND((O10/D10), 0)</f>
        <v>8</v>
      </c>
      <c r="G10" s="49"/>
      <c r="H10" s="49"/>
      <c r="I10" s="48">
        <v>34</v>
      </c>
      <c r="J10" s="48">
        <v>24</v>
      </c>
      <c r="K10" s="45">
        <f>I10+J10</f>
        <v>58</v>
      </c>
      <c r="L10" s="48">
        <v>13.13</v>
      </c>
      <c r="M10" s="46">
        <f>I10+L10</f>
        <v>47.13</v>
      </c>
      <c r="N10" s="48">
        <v>58</v>
      </c>
      <c r="O10" s="48">
        <v>79</v>
      </c>
      <c r="P10" s="183">
        <f t="shared" si="2"/>
        <v>0.59658227848101264</v>
      </c>
      <c r="Q10" s="48">
        <v>34</v>
      </c>
      <c r="R10" s="48">
        <v>7</v>
      </c>
      <c r="S10" s="52">
        <v>1130361</v>
      </c>
      <c r="T10" s="47">
        <f t="shared" ref="T10:T22" si="6">SUM(U10:V10)</f>
        <v>1348152</v>
      </c>
      <c r="U10" s="52">
        <v>1217000</v>
      </c>
      <c r="V10" s="52">
        <v>131152</v>
      </c>
      <c r="W10" s="185">
        <f t="shared" si="3"/>
        <v>9.7282798972222723E-2</v>
      </c>
      <c r="X10" s="19"/>
      <c r="Y10" s="19"/>
      <c r="Z10" s="19"/>
    </row>
    <row r="11" spans="1:220">
      <c r="A11" s="289">
        <v>2013</v>
      </c>
      <c r="B11" s="53">
        <v>7</v>
      </c>
      <c r="C11" s="53">
        <v>0</v>
      </c>
      <c r="D11" s="54">
        <f>B11+C11</f>
        <v>7</v>
      </c>
      <c r="E11" s="55">
        <f t="shared" si="4"/>
        <v>10</v>
      </c>
      <c r="F11" s="55">
        <f t="shared" si="5"/>
        <v>10</v>
      </c>
      <c r="G11" s="56"/>
      <c r="H11" s="56"/>
      <c r="I11" s="53">
        <v>27</v>
      </c>
      <c r="J11" s="53">
        <v>18</v>
      </c>
      <c r="K11" s="54">
        <f>I11+J11</f>
        <v>45</v>
      </c>
      <c r="L11" s="53">
        <v>12.87</v>
      </c>
      <c r="M11" s="55">
        <f>I11+L11</f>
        <v>39.869999999999997</v>
      </c>
      <c r="N11" s="53">
        <v>45</v>
      </c>
      <c r="O11" s="53">
        <v>71.87</v>
      </c>
      <c r="P11" s="183">
        <f t="shared" si="2"/>
        <v>0.5547516348963405</v>
      </c>
      <c r="Q11" s="53">
        <v>34</v>
      </c>
      <c r="R11" s="53">
        <v>9</v>
      </c>
      <c r="S11" s="57">
        <v>1099378</v>
      </c>
      <c r="T11" s="58">
        <f t="shared" si="6"/>
        <v>1242080</v>
      </c>
      <c r="U11" s="57">
        <v>1162080</v>
      </c>
      <c r="V11" s="57">
        <v>80000</v>
      </c>
      <c r="W11" s="185">
        <f t="shared" si="3"/>
        <v>6.4408089656060805E-2</v>
      </c>
    </row>
    <row r="12" spans="1:220">
      <c r="A12" s="289">
        <v>2012</v>
      </c>
      <c r="B12" s="53">
        <v>7</v>
      </c>
      <c r="C12" s="53">
        <v>0</v>
      </c>
      <c r="D12" s="54">
        <f>B12+C12</f>
        <v>7</v>
      </c>
      <c r="E12" s="55">
        <f t="shared" si="4"/>
        <v>11</v>
      </c>
      <c r="F12" s="55">
        <f t="shared" si="5"/>
        <v>11</v>
      </c>
      <c r="G12" s="56"/>
      <c r="H12" s="56"/>
      <c r="I12" s="53">
        <v>36</v>
      </c>
      <c r="J12" s="53">
        <v>21</v>
      </c>
      <c r="K12" s="54">
        <f>I12+J12</f>
        <v>57</v>
      </c>
      <c r="L12" s="53">
        <v>14.25</v>
      </c>
      <c r="M12" s="55">
        <f>I12+L12</f>
        <v>50.25</v>
      </c>
      <c r="N12" s="53">
        <v>66</v>
      </c>
      <c r="O12" s="53">
        <v>77.63</v>
      </c>
      <c r="P12" s="183">
        <f t="shared" si="2"/>
        <v>0.6473013010434111</v>
      </c>
      <c r="Q12" s="53">
        <v>67</v>
      </c>
      <c r="R12" s="53">
        <v>0</v>
      </c>
      <c r="S12" s="57">
        <v>1189520.19</v>
      </c>
      <c r="T12" s="58">
        <f t="shared" si="6"/>
        <v>997791</v>
      </c>
      <c r="U12" s="57">
        <v>987791</v>
      </c>
      <c r="V12" s="57">
        <v>10000</v>
      </c>
      <c r="W12" s="185">
        <f t="shared" si="3"/>
        <v>1.0022138904840792E-2</v>
      </c>
    </row>
    <row r="13" spans="1:220">
      <c r="A13" s="289" t="s">
        <v>81</v>
      </c>
      <c r="B13" s="53">
        <v>7</v>
      </c>
      <c r="C13" s="53">
        <v>3.07</v>
      </c>
      <c r="D13" s="54">
        <f t="shared" ref="D13:D22" si="7">SUM(B13:C13)</f>
        <v>10.07</v>
      </c>
      <c r="E13" s="55">
        <f t="shared" si="4"/>
        <v>14</v>
      </c>
      <c r="F13" s="55">
        <f t="shared" si="5"/>
        <v>9</v>
      </c>
      <c r="G13" s="56"/>
      <c r="H13" s="56"/>
      <c r="I13" s="53">
        <v>50</v>
      </c>
      <c r="J13" s="53">
        <v>40</v>
      </c>
      <c r="K13" s="54">
        <f t="shared" ref="K13:K22" si="8">SUM(I13:J13)</f>
        <v>90</v>
      </c>
      <c r="L13" s="53">
        <v>22.63</v>
      </c>
      <c r="M13" s="55">
        <f t="shared" ref="M13:M22" si="9">(I13+L13)</f>
        <v>72.63</v>
      </c>
      <c r="N13" s="53">
        <v>89</v>
      </c>
      <c r="O13" s="53">
        <v>94.63</v>
      </c>
      <c r="P13" s="183">
        <f t="shared" si="2"/>
        <v>0.76751558702314271</v>
      </c>
      <c r="Q13" s="53">
        <v>7</v>
      </c>
      <c r="R13" s="53">
        <v>29</v>
      </c>
      <c r="S13" s="57">
        <v>1088313</v>
      </c>
      <c r="T13" s="58">
        <f t="shared" si="6"/>
        <v>1254137</v>
      </c>
      <c r="U13" s="57">
        <v>1152737</v>
      </c>
      <c r="V13" s="57">
        <v>101400</v>
      </c>
      <c r="W13" s="185">
        <f t="shared" si="3"/>
        <v>8.0852410861014384E-2</v>
      </c>
    </row>
    <row r="14" spans="1:220">
      <c r="A14" s="289" t="s">
        <v>82</v>
      </c>
      <c r="B14" s="53">
        <v>6</v>
      </c>
      <c r="C14" s="53">
        <v>4.49</v>
      </c>
      <c r="D14" s="54">
        <f t="shared" si="7"/>
        <v>10.49</v>
      </c>
      <c r="E14" s="55">
        <f t="shared" si="4"/>
        <v>17</v>
      </c>
      <c r="F14" s="55">
        <f t="shared" si="5"/>
        <v>10</v>
      </c>
      <c r="G14" s="56"/>
      <c r="H14" s="56"/>
      <c r="I14" s="53">
        <v>52</v>
      </c>
      <c r="J14" s="53">
        <v>32</v>
      </c>
      <c r="K14" s="54">
        <f t="shared" si="8"/>
        <v>84</v>
      </c>
      <c r="L14" s="53">
        <v>13.12</v>
      </c>
      <c r="M14" s="55">
        <f t="shared" si="9"/>
        <v>65.12</v>
      </c>
      <c r="N14" s="53">
        <v>81</v>
      </c>
      <c r="O14" s="53">
        <v>101.42</v>
      </c>
      <c r="P14" s="183">
        <f t="shared" si="2"/>
        <v>0.64208242950108463</v>
      </c>
      <c r="Q14" s="53">
        <v>24</v>
      </c>
      <c r="R14" s="53">
        <v>12</v>
      </c>
      <c r="S14" s="57">
        <v>1322318.79</v>
      </c>
      <c r="T14" s="58">
        <f t="shared" si="6"/>
        <v>1317692</v>
      </c>
      <c r="U14" s="57">
        <v>1218785</v>
      </c>
      <c r="V14" s="57">
        <v>98907</v>
      </c>
      <c r="W14" s="185">
        <f t="shared" si="3"/>
        <v>7.5060788105262843E-2</v>
      </c>
    </row>
    <row r="15" spans="1:220">
      <c r="A15" s="289" t="s">
        <v>83</v>
      </c>
      <c r="B15" s="53">
        <v>6</v>
      </c>
      <c r="C15" s="53">
        <v>4.49</v>
      </c>
      <c r="D15" s="54">
        <f t="shared" si="7"/>
        <v>10.49</v>
      </c>
      <c r="E15" s="55">
        <f t="shared" si="4"/>
        <v>20</v>
      </c>
      <c r="F15" s="55">
        <f t="shared" si="5"/>
        <v>11</v>
      </c>
      <c r="G15" s="56"/>
      <c r="H15" s="56"/>
      <c r="I15" s="53">
        <v>60</v>
      </c>
      <c r="J15" s="53">
        <v>37</v>
      </c>
      <c r="K15" s="54">
        <f t="shared" si="8"/>
        <v>97</v>
      </c>
      <c r="L15" s="53">
        <v>21.38</v>
      </c>
      <c r="M15" s="55">
        <f t="shared" si="9"/>
        <v>81.38</v>
      </c>
      <c r="N15" s="53">
        <v>92</v>
      </c>
      <c r="O15" s="53">
        <v>117.01</v>
      </c>
      <c r="P15" s="183">
        <f t="shared" si="2"/>
        <v>0.69549611144346635</v>
      </c>
      <c r="Q15" s="53">
        <v>21</v>
      </c>
      <c r="R15" s="53">
        <v>25</v>
      </c>
      <c r="S15" s="57">
        <v>1489737</v>
      </c>
      <c r="T15" s="58">
        <f t="shared" si="6"/>
        <v>1445717</v>
      </c>
      <c r="U15" s="57">
        <v>1312769</v>
      </c>
      <c r="V15" s="57">
        <v>132948</v>
      </c>
      <c r="W15" s="185">
        <f t="shared" si="3"/>
        <v>9.1959906399385213E-2</v>
      </c>
    </row>
    <row r="16" spans="1:220">
      <c r="A16" s="289" t="s">
        <v>84</v>
      </c>
      <c r="B16" s="59">
        <v>5</v>
      </c>
      <c r="C16" s="53"/>
      <c r="D16" s="55">
        <f t="shared" si="7"/>
        <v>5</v>
      </c>
      <c r="E16" s="55">
        <f t="shared" si="4"/>
        <v>21</v>
      </c>
      <c r="F16" s="55">
        <f t="shared" si="5"/>
        <v>21</v>
      </c>
      <c r="G16" s="56"/>
      <c r="H16" s="56"/>
      <c r="I16" s="53">
        <v>57</v>
      </c>
      <c r="J16" s="53">
        <v>39</v>
      </c>
      <c r="K16" s="54">
        <f t="shared" si="8"/>
        <v>96</v>
      </c>
      <c r="L16" s="53">
        <v>22.63</v>
      </c>
      <c r="M16" s="55">
        <f t="shared" si="9"/>
        <v>79.63</v>
      </c>
      <c r="N16" s="53">
        <v>85</v>
      </c>
      <c r="O16" s="53">
        <v>106</v>
      </c>
      <c r="P16" s="183">
        <f t="shared" si="2"/>
        <v>0.75122641509433963</v>
      </c>
      <c r="Q16" s="53">
        <v>10</v>
      </c>
      <c r="R16" s="53">
        <v>8</v>
      </c>
      <c r="S16" s="57">
        <v>1111050</v>
      </c>
      <c r="T16" s="58">
        <f t="shared" si="6"/>
        <v>1368906</v>
      </c>
      <c r="U16" s="60">
        <v>1228340</v>
      </c>
      <c r="V16" s="57">
        <v>140566</v>
      </c>
      <c r="W16" s="185">
        <f t="shared" si="3"/>
        <v>0.10268491773722958</v>
      </c>
    </row>
    <row r="17" spans="1:26">
      <c r="A17" s="289">
        <v>2007</v>
      </c>
      <c r="B17" s="53">
        <v>10</v>
      </c>
      <c r="C17" s="53">
        <v>1.8</v>
      </c>
      <c r="D17" s="54">
        <f t="shared" si="7"/>
        <v>11.8</v>
      </c>
      <c r="E17" s="55">
        <f t="shared" si="4"/>
        <v>8</v>
      </c>
      <c r="F17" s="55">
        <f t="shared" si="5"/>
        <v>7</v>
      </c>
      <c r="G17" s="56"/>
      <c r="H17" s="56"/>
      <c r="I17" s="53">
        <v>56</v>
      </c>
      <c r="J17" s="53">
        <v>37</v>
      </c>
      <c r="K17" s="54">
        <f t="shared" si="8"/>
        <v>93</v>
      </c>
      <c r="L17" s="53">
        <v>24</v>
      </c>
      <c r="M17" s="55">
        <f t="shared" si="9"/>
        <v>80</v>
      </c>
      <c r="N17" s="53">
        <v>86</v>
      </c>
      <c r="O17" s="53">
        <v>80</v>
      </c>
      <c r="P17" s="183">
        <f t="shared" si="2"/>
        <v>1</v>
      </c>
      <c r="Q17" s="53">
        <v>17</v>
      </c>
      <c r="R17" s="53">
        <v>14</v>
      </c>
      <c r="S17" s="60">
        <v>1426673</v>
      </c>
      <c r="T17" s="58">
        <f t="shared" si="6"/>
        <v>1441499</v>
      </c>
      <c r="U17" s="60">
        <v>1233594</v>
      </c>
      <c r="V17" s="60">
        <v>207905</v>
      </c>
      <c r="W17" s="185">
        <f t="shared" si="3"/>
        <v>0.1442283345323167</v>
      </c>
    </row>
    <row r="18" spans="1:26">
      <c r="A18" s="289">
        <v>2006</v>
      </c>
      <c r="B18" s="53">
        <v>10</v>
      </c>
      <c r="C18" s="53">
        <v>0.85</v>
      </c>
      <c r="D18" s="54">
        <f t="shared" si="7"/>
        <v>10.85</v>
      </c>
      <c r="E18" s="55">
        <f t="shared" si="4"/>
        <v>11</v>
      </c>
      <c r="F18" s="55">
        <f t="shared" si="5"/>
        <v>11</v>
      </c>
      <c r="G18" s="56"/>
      <c r="H18" s="56"/>
      <c r="I18" s="53">
        <v>67</v>
      </c>
      <c r="J18" s="53">
        <v>31</v>
      </c>
      <c r="K18" s="54">
        <f t="shared" si="8"/>
        <v>98</v>
      </c>
      <c r="L18" s="53">
        <v>19</v>
      </c>
      <c r="M18" s="55">
        <f t="shared" si="9"/>
        <v>86</v>
      </c>
      <c r="N18" s="53">
        <v>91</v>
      </c>
      <c r="O18" s="53">
        <v>114</v>
      </c>
      <c r="P18" s="183">
        <f t="shared" si="2"/>
        <v>0.75438596491228072</v>
      </c>
      <c r="Q18" s="53">
        <v>17</v>
      </c>
      <c r="R18" s="53">
        <v>29</v>
      </c>
      <c r="S18" s="61">
        <v>1551171</v>
      </c>
      <c r="T18" s="58">
        <f t="shared" si="6"/>
        <v>1535203</v>
      </c>
      <c r="U18" s="61">
        <v>1241552</v>
      </c>
      <c r="V18" s="61">
        <v>293651</v>
      </c>
      <c r="W18" s="185">
        <f t="shared" si="3"/>
        <v>0.19127828697572893</v>
      </c>
    </row>
    <row r="19" spans="1:26">
      <c r="A19" s="289">
        <v>2005</v>
      </c>
      <c r="B19" s="53">
        <v>10</v>
      </c>
      <c r="C19" s="53">
        <v>2</v>
      </c>
      <c r="D19" s="54">
        <f t="shared" si="7"/>
        <v>12</v>
      </c>
      <c r="E19" s="55">
        <f t="shared" si="4"/>
        <v>8</v>
      </c>
      <c r="F19" s="55">
        <f t="shared" si="5"/>
        <v>6</v>
      </c>
      <c r="G19" s="56"/>
      <c r="H19" s="56"/>
      <c r="I19" s="53">
        <v>61</v>
      </c>
      <c r="J19" s="53">
        <v>24</v>
      </c>
      <c r="K19" s="54">
        <f t="shared" si="8"/>
        <v>85</v>
      </c>
      <c r="L19" s="53">
        <v>12</v>
      </c>
      <c r="M19" s="55">
        <f t="shared" si="9"/>
        <v>73</v>
      </c>
      <c r="N19" s="53">
        <v>81</v>
      </c>
      <c r="O19" s="53">
        <v>77</v>
      </c>
      <c r="P19" s="183">
        <f t="shared" si="2"/>
        <v>0.94805194805194803</v>
      </c>
      <c r="Q19" s="53">
        <v>19</v>
      </c>
      <c r="R19" s="53">
        <v>22</v>
      </c>
      <c r="S19" s="61">
        <v>965721</v>
      </c>
      <c r="T19" s="58">
        <f t="shared" si="6"/>
        <v>1254758</v>
      </c>
      <c r="U19" s="61">
        <v>1127232</v>
      </c>
      <c r="V19" s="61">
        <v>127526</v>
      </c>
      <c r="W19" s="185">
        <f t="shared" si="3"/>
        <v>0.1016339405686196</v>
      </c>
    </row>
    <row r="20" spans="1:26">
      <c r="A20" s="289">
        <v>2004</v>
      </c>
      <c r="B20" s="53">
        <v>8</v>
      </c>
      <c r="C20" s="53">
        <v>4</v>
      </c>
      <c r="D20" s="54">
        <f t="shared" si="7"/>
        <v>12</v>
      </c>
      <c r="E20" s="55">
        <f t="shared" si="4"/>
        <v>12</v>
      </c>
      <c r="F20" s="55">
        <f t="shared" si="5"/>
        <v>8</v>
      </c>
      <c r="G20" s="56"/>
      <c r="H20" s="56"/>
      <c r="I20" s="53">
        <v>56</v>
      </c>
      <c r="J20" s="53">
        <v>54</v>
      </c>
      <c r="K20" s="54">
        <f t="shared" si="8"/>
        <v>110</v>
      </c>
      <c r="L20" s="286">
        <v>35</v>
      </c>
      <c r="M20" s="55">
        <f t="shared" si="9"/>
        <v>91</v>
      </c>
      <c r="N20" s="53">
        <v>102</v>
      </c>
      <c r="O20" s="53">
        <v>99</v>
      </c>
      <c r="P20" s="183">
        <f t="shared" si="2"/>
        <v>0.91919191919191923</v>
      </c>
      <c r="Q20" s="53">
        <v>14</v>
      </c>
      <c r="R20" s="53">
        <v>35</v>
      </c>
      <c r="S20" s="61">
        <v>1611654</v>
      </c>
      <c r="T20" s="58">
        <f t="shared" si="6"/>
        <v>2059382</v>
      </c>
      <c r="U20" s="61">
        <v>1010683</v>
      </c>
      <c r="V20" s="61">
        <v>1048699</v>
      </c>
      <c r="W20" s="185">
        <f t="shared" si="3"/>
        <v>0.50922995345205502</v>
      </c>
    </row>
    <row r="21" spans="1:26">
      <c r="A21" s="289">
        <v>2003</v>
      </c>
      <c r="B21" s="53">
        <v>9</v>
      </c>
      <c r="C21" s="53">
        <v>2</v>
      </c>
      <c r="D21" s="54">
        <f t="shared" si="7"/>
        <v>11</v>
      </c>
      <c r="E21" s="55">
        <f t="shared" si="4"/>
        <v>12</v>
      </c>
      <c r="F21" s="55">
        <f t="shared" si="5"/>
        <v>10</v>
      </c>
      <c r="G21" s="56"/>
      <c r="H21" s="56"/>
      <c r="I21" s="53">
        <v>58</v>
      </c>
      <c r="J21" s="53">
        <v>52</v>
      </c>
      <c r="K21" s="54">
        <f t="shared" si="8"/>
        <v>110</v>
      </c>
      <c r="L21" s="286">
        <v>32</v>
      </c>
      <c r="M21" s="55">
        <f t="shared" si="9"/>
        <v>90</v>
      </c>
      <c r="N21" s="53">
        <v>104</v>
      </c>
      <c r="O21" s="53">
        <v>111</v>
      </c>
      <c r="P21" s="183">
        <f t="shared" si="2"/>
        <v>0.81081081081081086</v>
      </c>
      <c r="Q21" s="53">
        <v>11</v>
      </c>
      <c r="R21" s="53">
        <v>27</v>
      </c>
      <c r="S21" s="61">
        <v>1575509</v>
      </c>
      <c r="T21" s="58">
        <f t="shared" si="6"/>
        <v>1926014</v>
      </c>
      <c r="U21" s="61">
        <v>1012888</v>
      </c>
      <c r="V21" s="61">
        <v>913126</v>
      </c>
      <c r="W21" s="185">
        <f t="shared" si="3"/>
        <v>0.47410143436132862</v>
      </c>
    </row>
    <row r="22" spans="1:26">
      <c r="A22" s="289">
        <v>2002</v>
      </c>
      <c r="B22" s="53">
        <v>10</v>
      </c>
      <c r="C22" s="53">
        <v>5.25</v>
      </c>
      <c r="D22" s="54">
        <f t="shared" si="7"/>
        <v>15.25</v>
      </c>
      <c r="E22" s="55">
        <f t="shared" si="4"/>
        <v>14</v>
      </c>
      <c r="F22" s="55">
        <f t="shared" si="5"/>
        <v>9</v>
      </c>
      <c r="G22" s="56"/>
      <c r="H22" s="56"/>
      <c r="I22" s="53">
        <v>55</v>
      </c>
      <c r="J22" s="53">
        <v>45</v>
      </c>
      <c r="K22" s="54">
        <f t="shared" si="8"/>
        <v>100</v>
      </c>
      <c r="L22" s="286">
        <f>ROUND(30.38, 0)</f>
        <v>30</v>
      </c>
      <c r="M22" s="55">
        <f t="shared" si="9"/>
        <v>85</v>
      </c>
      <c r="N22" s="53">
        <v>94</v>
      </c>
      <c r="O22" s="53">
        <f>ROUND(140.51, 0)</f>
        <v>141</v>
      </c>
      <c r="P22" s="183">
        <f t="shared" si="2"/>
        <v>0.6028368794326241</v>
      </c>
      <c r="Q22" s="53">
        <v>9</v>
      </c>
      <c r="R22" s="53">
        <v>20</v>
      </c>
      <c r="S22" s="61">
        <v>1484442</v>
      </c>
      <c r="T22" s="58">
        <f t="shared" si="6"/>
        <v>2099270</v>
      </c>
      <c r="U22" s="61">
        <v>911308</v>
      </c>
      <c r="V22" s="61">
        <v>1187962</v>
      </c>
      <c r="W22" s="185">
        <f t="shared" si="3"/>
        <v>0.56589290562909966</v>
      </c>
    </row>
    <row r="23" spans="1:26" s="169" customForma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169" customForma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s="169" customForma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s="169" customForma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s="169" customForma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s="169" customForma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s="169" customForma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s="169" customForma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s="169" customForma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s="169" customForma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3" s="169" customFormat="1">
      <c r="A33" s="13"/>
      <c r="B33" s="13"/>
      <c r="C33" s="13"/>
      <c r="D33" s="13"/>
      <c r="E33" s="13"/>
      <c r="F33" s="13"/>
      <c r="G33" s="13"/>
      <c r="H33" s="13"/>
      <c r="I33" s="13"/>
      <c r="J33" s="13"/>
      <c r="K33" s="13"/>
      <c r="L33" s="13"/>
      <c r="M33" s="13"/>
      <c r="N33" s="13"/>
      <c r="O33" s="13"/>
      <c r="P33" s="13"/>
      <c r="Q33" s="13"/>
      <c r="R33" s="13"/>
      <c r="S33" s="13"/>
      <c r="T33" s="13"/>
      <c r="U33" s="13"/>
      <c r="V33" s="13"/>
      <c r="W33" s="13"/>
    </row>
    <row r="34" spans="1:23" s="169" customFormat="1">
      <c r="A34" s="13"/>
      <c r="B34" s="13"/>
      <c r="C34" s="13"/>
      <c r="D34" s="13"/>
      <c r="E34" s="13"/>
      <c r="F34" s="13"/>
      <c r="G34" s="13"/>
      <c r="H34" s="13"/>
      <c r="I34" s="13"/>
      <c r="J34" s="13"/>
      <c r="K34" s="13"/>
      <c r="L34" s="13"/>
      <c r="M34" s="13"/>
      <c r="N34" s="13"/>
      <c r="O34" s="13"/>
      <c r="P34" s="13"/>
      <c r="Q34" s="13"/>
      <c r="R34" s="13"/>
      <c r="S34" s="13"/>
      <c r="T34" s="13"/>
      <c r="U34" s="13"/>
      <c r="V34" s="13"/>
      <c r="W34" s="13"/>
    </row>
    <row r="35" spans="1:23" s="169" customFormat="1">
      <c r="A35" s="13"/>
      <c r="B35" s="13"/>
      <c r="C35" s="13"/>
      <c r="D35" s="13"/>
      <c r="E35" s="13"/>
      <c r="F35" s="13"/>
      <c r="G35" s="13"/>
      <c r="H35" s="13"/>
      <c r="I35" s="13"/>
      <c r="J35" s="13"/>
      <c r="K35" s="13"/>
      <c r="L35" s="13"/>
      <c r="M35" s="13"/>
      <c r="N35" s="13"/>
      <c r="O35" s="13"/>
      <c r="P35" s="13"/>
      <c r="Q35" s="13"/>
      <c r="R35" s="13"/>
      <c r="S35" s="13"/>
      <c r="T35" s="13"/>
      <c r="U35" s="13"/>
      <c r="V35" s="13"/>
      <c r="W35" s="13"/>
    </row>
    <row r="36" spans="1:23" s="169" customFormat="1">
      <c r="A36" s="13"/>
      <c r="B36" s="13"/>
      <c r="C36" s="13"/>
      <c r="D36" s="13"/>
      <c r="E36" s="13"/>
      <c r="F36" s="13"/>
      <c r="G36" s="13"/>
      <c r="H36" s="13"/>
      <c r="I36" s="13"/>
      <c r="J36" s="13"/>
      <c r="K36" s="13"/>
      <c r="L36" s="13"/>
      <c r="M36" s="13"/>
      <c r="N36" s="13"/>
      <c r="O36" s="13"/>
      <c r="P36" s="13"/>
      <c r="Q36" s="13"/>
      <c r="R36" s="13"/>
      <c r="S36" s="13"/>
      <c r="T36" s="13"/>
      <c r="U36" s="13"/>
      <c r="V36" s="13"/>
      <c r="W36" s="13"/>
    </row>
    <row r="37" spans="1:23" s="169" customFormat="1">
      <c r="A37" s="13"/>
      <c r="B37" s="13"/>
      <c r="C37" s="13"/>
      <c r="D37" s="13"/>
      <c r="E37" s="13"/>
      <c r="F37" s="13"/>
      <c r="G37" s="13"/>
      <c r="H37" s="13"/>
      <c r="I37" s="13"/>
      <c r="J37" s="13"/>
      <c r="K37" s="13"/>
      <c r="L37" s="13"/>
      <c r="M37" s="13"/>
      <c r="N37" s="13"/>
      <c r="O37" s="13"/>
      <c r="P37" s="13"/>
      <c r="Q37" s="13"/>
      <c r="R37" s="13"/>
      <c r="S37" s="13"/>
      <c r="T37" s="13"/>
      <c r="U37" s="13"/>
      <c r="V37" s="13"/>
      <c r="W37" s="13"/>
    </row>
    <row r="38" spans="1:23" s="169" customFormat="1">
      <c r="A38" s="13"/>
      <c r="B38" s="13"/>
      <c r="C38" s="13"/>
      <c r="D38" s="13"/>
      <c r="E38" s="13"/>
      <c r="F38" s="13"/>
      <c r="G38" s="13"/>
      <c r="H38" s="13"/>
      <c r="I38" s="13"/>
      <c r="J38" s="13"/>
      <c r="K38" s="13"/>
      <c r="L38" s="13"/>
      <c r="M38" s="13"/>
      <c r="N38" s="13"/>
      <c r="O38" s="13"/>
      <c r="P38" s="13"/>
      <c r="Q38" s="13"/>
      <c r="R38" s="13"/>
      <c r="S38" s="13"/>
      <c r="T38" s="13"/>
      <c r="U38" s="13"/>
      <c r="V38" s="13"/>
      <c r="W38" s="13"/>
    </row>
    <row r="39" spans="1:23" s="169" customFormat="1">
      <c r="A39" s="13"/>
      <c r="B39" s="13"/>
      <c r="C39" s="13"/>
      <c r="D39" s="13"/>
      <c r="E39" s="13"/>
      <c r="F39" s="13"/>
      <c r="G39" s="13"/>
      <c r="H39" s="13"/>
      <c r="I39" s="13"/>
      <c r="J39" s="13"/>
      <c r="K39" s="13"/>
      <c r="L39" s="13"/>
      <c r="M39" s="13"/>
      <c r="N39" s="13"/>
      <c r="O39" s="13"/>
      <c r="P39" s="13"/>
      <c r="Q39" s="13"/>
      <c r="R39" s="13"/>
      <c r="S39" s="13"/>
      <c r="T39" s="13"/>
      <c r="U39" s="13"/>
      <c r="V39" s="13"/>
      <c r="W39" s="13"/>
    </row>
    <row r="40" spans="1:23" s="169" customFormat="1">
      <c r="A40" s="13"/>
      <c r="B40" s="13"/>
      <c r="C40" s="13"/>
      <c r="D40" s="13"/>
      <c r="E40" s="13"/>
      <c r="F40" s="13"/>
      <c r="G40" s="13"/>
      <c r="H40" s="13"/>
      <c r="I40" s="13"/>
      <c r="J40" s="13"/>
      <c r="K40" s="13"/>
      <c r="L40" s="13"/>
      <c r="M40" s="13"/>
      <c r="N40" s="13"/>
      <c r="O40" s="13"/>
      <c r="P40" s="13"/>
      <c r="Q40" s="13"/>
      <c r="R40" s="13"/>
      <c r="S40" s="13"/>
      <c r="T40" s="13"/>
      <c r="U40" s="13"/>
      <c r="V40" s="13"/>
      <c r="W40" s="13"/>
    </row>
    <row r="41" spans="1:23" s="169" customFormat="1">
      <c r="A41" s="13"/>
      <c r="B41" s="13"/>
      <c r="C41" s="13"/>
      <c r="D41" s="13"/>
      <c r="E41" s="13"/>
      <c r="F41" s="13"/>
      <c r="G41" s="13"/>
      <c r="H41" s="13"/>
      <c r="I41" s="13"/>
      <c r="J41" s="13"/>
      <c r="K41" s="13"/>
      <c r="L41" s="13"/>
      <c r="M41" s="13"/>
      <c r="N41" s="13"/>
      <c r="O41" s="13"/>
      <c r="P41" s="13"/>
      <c r="Q41" s="13"/>
      <c r="R41" s="13"/>
      <c r="S41" s="13"/>
      <c r="T41" s="13"/>
      <c r="U41" s="13"/>
      <c r="V41" s="13"/>
      <c r="W41" s="13"/>
    </row>
    <row r="42" spans="1:23" s="169" customFormat="1">
      <c r="A42" s="13"/>
      <c r="B42" s="13"/>
      <c r="C42" s="13"/>
      <c r="D42" s="13"/>
      <c r="E42" s="13"/>
      <c r="F42" s="13"/>
      <c r="G42" s="13"/>
      <c r="H42" s="13"/>
      <c r="I42" s="13"/>
      <c r="J42" s="13"/>
      <c r="K42" s="13"/>
      <c r="L42" s="13"/>
      <c r="M42" s="13"/>
      <c r="N42" s="13"/>
      <c r="O42" s="13"/>
      <c r="P42" s="13"/>
      <c r="Q42" s="13"/>
      <c r="R42" s="13"/>
      <c r="S42" s="13"/>
      <c r="T42" s="13"/>
      <c r="U42" s="13"/>
      <c r="V42" s="13"/>
      <c r="W42" s="13"/>
    </row>
    <row r="43" spans="1:23" s="169" customFormat="1">
      <c r="A43" s="13"/>
      <c r="B43" s="13"/>
      <c r="C43" s="13"/>
      <c r="D43" s="13"/>
      <c r="E43" s="13"/>
      <c r="F43" s="13"/>
      <c r="G43" s="13"/>
      <c r="H43" s="13"/>
      <c r="I43" s="13"/>
      <c r="J43" s="13"/>
      <c r="K43" s="13"/>
      <c r="L43" s="13"/>
      <c r="M43" s="13"/>
      <c r="N43" s="13"/>
      <c r="O43" s="13"/>
      <c r="P43" s="13"/>
      <c r="Q43" s="13"/>
      <c r="R43" s="13"/>
      <c r="S43" s="13"/>
      <c r="T43" s="13"/>
      <c r="U43" s="13"/>
      <c r="V43" s="13"/>
      <c r="W43" s="13"/>
    </row>
    <row r="44" spans="1:23" s="169" customFormat="1">
      <c r="A44" s="13"/>
      <c r="B44" s="13"/>
      <c r="C44" s="13"/>
      <c r="D44" s="13"/>
      <c r="E44" s="13"/>
      <c r="F44" s="13"/>
      <c r="G44" s="13"/>
      <c r="H44" s="13"/>
      <c r="I44" s="13"/>
      <c r="J44" s="13"/>
      <c r="K44" s="13"/>
      <c r="L44" s="13"/>
      <c r="M44" s="13"/>
      <c r="N44" s="13"/>
      <c r="O44" s="13"/>
      <c r="P44" s="13"/>
      <c r="Q44" s="13"/>
      <c r="R44" s="13"/>
      <c r="S44" s="13"/>
      <c r="T44" s="13"/>
      <c r="U44" s="13"/>
      <c r="V44" s="13"/>
      <c r="W44" s="13"/>
    </row>
    <row r="45" spans="1:23" s="169" customFormat="1">
      <c r="A45" s="13"/>
      <c r="B45" s="13"/>
      <c r="C45" s="13"/>
      <c r="D45" s="13"/>
      <c r="E45" s="13"/>
      <c r="F45" s="13"/>
      <c r="G45" s="13"/>
      <c r="H45" s="13"/>
      <c r="I45" s="13"/>
      <c r="J45" s="13"/>
      <c r="K45" s="13"/>
      <c r="L45" s="13"/>
      <c r="M45" s="13"/>
      <c r="N45" s="13"/>
      <c r="O45" s="13"/>
      <c r="P45" s="13"/>
      <c r="Q45" s="13"/>
      <c r="R45" s="13"/>
      <c r="S45" s="13"/>
      <c r="T45" s="13"/>
      <c r="U45" s="13"/>
      <c r="V45" s="13"/>
      <c r="W45" s="13"/>
    </row>
    <row r="46" spans="1:23" s="169" customFormat="1">
      <c r="A46" s="13"/>
      <c r="B46" s="13"/>
      <c r="C46" s="13"/>
      <c r="D46" s="13"/>
      <c r="E46" s="13"/>
      <c r="F46" s="13"/>
      <c r="G46" s="13"/>
      <c r="H46" s="13"/>
      <c r="I46" s="13"/>
      <c r="J46" s="13"/>
      <c r="K46" s="13"/>
      <c r="L46" s="13"/>
      <c r="M46" s="13"/>
      <c r="N46" s="13"/>
      <c r="O46" s="13"/>
      <c r="P46" s="13"/>
      <c r="Q46" s="13"/>
      <c r="R46" s="13"/>
      <c r="S46" s="13"/>
      <c r="T46" s="13"/>
      <c r="U46" s="13"/>
      <c r="V46" s="13"/>
      <c r="W46" s="13"/>
    </row>
    <row r="47" spans="1:23" s="169" customFormat="1">
      <c r="A47" s="13"/>
      <c r="B47" s="13"/>
      <c r="C47" s="13"/>
      <c r="D47" s="13"/>
      <c r="E47" s="13"/>
      <c r="F47" s="13"/>
      <c r="G47" s="13"/>
      <c r="H47" s="13"/>
      <c r="I47" s="13"/>
      <c r="J47" s="13"/>
      <c r="K47" s="13"/>
      <c r="L47" s="13"/>
      <c r="M47" s="13"/>
      <c r="N47" s="13"/>
      <c r="O47" s="13"/>
      <c r="P47" s="13"/>
      <c r="Q47" s="13"/>
      <c r="R47" s="13"/>
      <c r="S47" s="13"/>
      <c r="T47" s="13"/>
      <c r="U47" s="13"/>
      <c r="V47" s="13"/>
      <c r="W47" s="13"/>
    </row>
    <row r="48" spans="1:23" s="169" customFormat="1">
      <c r="A48" s="13"/>
      <c r="B48" s="13"/>
      <c r="C48" s="13"/>
      <c r="D48" s="13"/>
      <c r="E48" s="13"/>
      <c r="F48" s="13"/>
      <c r="G48" s="13"/>
      <c r="H48" s="13"/>
      <c r="I48" s="13"/>
      <c r="J48" s="13"/>
      <c r="K48" s="13"/>
      <c r="L48" s="13"/>
      <c r="M48" s="13"/>
      <c r="N48" s="13"/>
      <c r="O48" s="13"/>
      <c r="P48" s="13"/>
      <c r="Q48" s="13"/>
      <c r="R48" s="13"/>
      <c r="S48" s="13"/>
      <c r="T48" s="13"/>
      <c r="U48" s="13"/>
      <c r="V48" s="13"/>
      <c r="W48" s="13"/>
    </row>
    <row r="49" spans="1:23" s="169" customFormat="1">
      <c r="A49" s="13"/>
      <c r="B49" s="13"/>
      <c r="C49" s="13"/>
      <c r="D49" s="13"/>
      <c r="E49" s="13"/>
      <c r="F49" s="13"/>
      <c r="G49" s="13"/>
      <c r="H49" s="13"/>
      <c r="I49" s="13"/>
      <c r="J49" s="13"/>
      <c r="K49" s="13"/>
      <c r="L49" s="13"/>
      <c r="M49" s="13"/>
      <c r="N49" s="13"/>
      <c r="O49" s="13"/>
      <c r="P49" s="13"/>
      <c r="Q49" s="13"/>
      <c r="R49" s="13"/>
      <c r="S49" s="13"/>
      <c r="T49" s="13"/>
      <c r="U49" s="13"/>
      <c r="V49" s="13"/>
      <c r="W49" s="13"/>
    </row>
    <row r="50" spans="1:23" s="169" customFormat="1">
      <c r="A50" s="13"/>
      <c r="B50" s="13"/>
      <c r="C50" s="13"/>
      <c r="D50" s="13"/>
      <c r="E50" s="13"/>
      <c r="F50" s="13"/>
      <c r="G50" s="13"/>
      <c r="H50" s="13"/>
      <c r="I50" s="13"/>
      <c r="J50" s="13"/>
      <c r="K50" s="13"/>
      <c r="L50" s="13"/>
      <c r="M50" s="13"/>
      <c r="N50" s="13"/>
      <c r="O50" s="13"/>
      <c r="P50" s="13"/>
      <c r="Q50" s="13"/>
      <c r="R50" s="13"/>
      <c r="S50" s="13"/>
      <c r="T50" s="13"/>
      <c r="U50" s="13"/>
      <c r="V50" s="13"/>
      <c r="W50" s="13"/>
    </row>
    <row r="51" spans="1:23" s="169" customFormat="1">
      <c r="A51" s="13"/>
      <c r="B51" s="13"/>
      <c r="C51" s="13"/>
      <c r="D51" s="13"/>
      <c r="E51" s="13"/>
      <c r="F51" s="13"/>
      <c r="G51" s="13"/>
      <c r="H51" s="13"/>
      <c r="I51" s="13"/>
      <c r="J51" s="13"/>
      <c r="K51" s="13"/>
      <c r="L51" s="13"/>
      <c r="M51" s="13"/>
      <c r="N51" s="13"/>
      <c r="O51" s="13"/>
      <c r="P51" s="13"/>
      <c r="Q51" s="13"/>
      <c r="R51" s="13"/>
      <c r="S51" s="13"/>
      <c r="T51" s="13"/>
      <c r="U51" s="13"/>
      <c r="V51" s="13"/>
      <c r="W51" s="13"/>
    </row>
    <row r="52" spans="1:23" s="169" customFormat="1">
      <c r="A52" s="13"/>
      <c r="B52" s="13"/>
      <c r="C52" s="13"/>
      <c r="D52" s="13"/>
      <c r="E52" s="13"/>
      <c r="F52" s="13"/>
      <c r="G52" s="13"/>
      <c r="H52" s="13"/>
      <c r="I52" s="13"/>
      <c r="J52" s="13"/>
      <c r="K52" s="13"/>
      <c r="L52" s="13"/>
      <c r="M52" s="13"/>
      <c r="N52" s="13"/>
      <c r="O52" s="13"/>
      <c r="P52" s="13"/>
      <c r="Q52" s="13"/>
      <c r="R52" s="13"/>
      <c r="S52" s="13"/>
      <c r="T52" s="13"/>
      <c r="U52" s="13"/>
      <c r="V52" s="13"/>
      <c r="W52" s="13"/>
    </row>
    <row r="53" spans="1:23" s="169" customFormat="1">
      <c r="A53" s="13"/>
      <c r="B53" s="13"/>
      <c r="C53" s="13"/>
      <c r="D53" s="13"/>
      <c r="E53" s="13"/>
      <c r="F53" s="13"/>
      <c r="G53" s="13"/>
      <c r="H53" s="13"/>
      <c r="I53" s="13"/>
      <c r="J53" s="13"/>
      <c r="K53" s="13"/>
      <c r="L53" s="13"/>
      <c r="M53" s="13"/>
      <c r="N53" s="13"/>
      <c r="O53" s="13"/>
      <c r="P53" s="13"/>
      <c r="Q53" s="13"/>
      <c r="R53" s="13"/>
      <c r="S53" s="13"/>
      <c r="T53" s="13"/>
      <c r="U53" s="13"/>
      <c r="V53" s="13"/>
      <c r="W53" s="13"/>
    </row>
    <row r="54" spans="1:23" s="169" customFormat="1">
      <c r="A54" s="13"/>
      <c r="B54" s="13"/>
      <c r="C54" s="13"/>
      <c r="D54" s="13"/>
      <c r="E54" s="13"/>
      <c r="F54" s="13"/>
      <c r="G54" s="13"/>
      <c r="H54" s="13"/>
      <c r="I54" s="13"/>
      <c r="J54" s="13"/>
      <c r="K54" s="13"/>
      <c r="L54" s="13"/>
      <c r="M54" s="13"/>
      <c r="N54" s="13"/>
      <c r="O54" s="13"/>
      <c r="P54" s="13"/>
      <c r="Q54" s="13"/>
      <c r="R54" s="13"/>
      <c r="S54" s="13"/>
      <c r="T54" s="13"/>
      <c r="U54" s="13"/>
      <c r="V54" s="13"/>
      <c r="W54" s="13"/>
    </row>
    <row r="55" spans="1:23" s="169" customFormat="1">
      <c r="A55" s="13"/>
      <c r="B55" s="13"/>
      <c r="C55" s="13"/>
      <c r="D55" s="13"/>
      <c r="E55" s="13"/>
      <c r="F55" s="13"/>
      <c r="G55" s="13"/>
      <c r="H55" s="13"/>
      <c r="I55" s="13"/>
      <c r="J55" s="13"/>
      <c r="K55" s="13"/>
      <c r="L55" s="13"/>
      <c r="M55" s="13"/>
      <c r="N55" s="13"/>
      <c r="O55" s="13"/>
      <c r="P55" s="13"/>
      <c r="Q55" s="13"/>
      <c r="R55" s="13"/>
      <c r="S55" s="13"/>
      <c r="T55" s="13"/>
      <c r="U55" s="13"/>
      <c r="V55" s="13"/>
      <c r="W55" s="13"/>
    </row>
    <row r="56" spans="1:23" s="169" customFormat="1">
      <c r="A56" s="13"/>
      <c r="B56" s="13"/>
      <c r="C56" s="13"/>
      <c r="D56" s="13"/>
      <c r="E56" s="13"/>
      <c r="F56" s="13"/>
      <c r="G56" s="13"/>
      <c r="H56" s="13"/>
      <c r="I56" s="13"/>
      <c r="J56" s="13"/>
      <c r="K56" s="13"/>
      <c r="L56" s="13"/>
      <c r="M56" s="13"/>
      <c r="N56" s="13"/>
      <c r="O56" s="13"/>
      <c r="P56" s="13"/>
      <c r="Q56" s="13"/>
      <c r="R56" s="13"/>
      <c r="S56" s="13"/>
      <c r="T56" s="13"/>
      <c r="U56" s="13"/>
      <c r="V56" s="13"/>
      <c r="W56" s="13"/>
    </row>
    <row r="57" spans="1:23" s="169" customFormat="1">
      <c r="A57" s="13"/>
      <c r="B57" s="13"/>
      <c r="C57" s="13"/>
      <c r="D57" s="13"/>
      <c r="E57" s="13"/>
      <c r="F57" s="13"/>
      <c r="G57" s="13"/>
      <c r="H57" s="13"/>
      <c r="I57" s="13"/>
      <c r="J57" s="13"/>
      <c r="K57" s="13"/>
      <c r="L57" s="13"/>
      <c r="M57" s="13"/>
      <c r="N57" s="13"/>
      <c r="O57" s="13"/>
      <c r="P57" s="13"/>
      <c r="Q57" s="13"/>
      <c r="R57" s="13"/>
      <c r="S57" s="13"/>
      <c r="T57" s="13"/>
      <c r="U57" s="13"/>
      <c r="V57" s="13"/>
      <c r="W57" s="13"/>
    </row>
    <row r="58" spans="1:23" s="169" customFormat="1">
      <c r="A58" s="13"/>
      <c r="B58" s="13"/>
      <c r="C58" s="13"/>
      <c r="D58" s="13"/>
      <c r="E58" s="13"/>
      <c r="F58" s="13"/>
      <c r="G58" s="13"/>
      <c r="H58" s="13"/>
      <c r="I58" s="13"/>
      <c r="J58" s="13"/>
      <c r="K58" s="13"/>
      <c r="L58" s="13"/>
      <c r="M58" s="13"/>
      <c r="N58" s="13"/>
      <c r="O58" s="13"/>
      <c r="P58" s="13"/>
      <c r="Q58" s="13"/>
      <c r="R58" s="13"/>
      <c r="S58" s="13"/>
      <c r="T58" s="13"/>
      <c r="U58" s="13"/>
      <c r="V58" s="13"/>
      <c r="W58" s="13"/>
    </row>
    <row r="59" spans="1:23" s="169" customFormat="1">
      <c r="A59" s="13"/>
      <c r="B59" s="13"/>
      <c r="C59" s="13"/>
      <c r="D59" s="13"/>
      <c r="E59" s="13"/>
      <c r="F59" s="13"/>
      <c r="G59" s="13"/>
      <c r="H59" s="13"/>
      <c r="I59" s="13"/>
      <c r="J59" s="13"/>
      <c r="K59" s="13"/>
      <c r="L59" s="13"/>
      <c r="M59" s="13"/>
      <c r="N59" s="13"/>
      <c r="O59" s="13"/>
      <c r="P59" s="13"/>
      <c r="Q59" s="13"/>
      <c r="R59" s="13"/>
      <c r="S59" s="13"/>
      <c r="T59" s="13"/>
      <c r="U59" s="13"/>
      <c r="V59" s="13"/>
      <c r="W59" s="13"/>
    </row>
    <row r="60" spans="1:23" s="169" customFormat="1">
      <c r="A60" s="13"/>
      <c r="B60" s="13"/>
      <c r="C60" s="13"/>
      <c r="D60" s="13"/>
      <c r="E60" s="13"/>
      <c r="F60" s="13"/>
      <c r="G60" s="13"/>
      <c r="H60" s="13"/>
      <c r="I60" s="13"/>
      <c r="J60" s="13"/>
      <c r="K60" s="13"/>
      <c r="L60" s="13"/>
      <c r="M60" s="13"/>
      <c r="N60" s="13"/>
      <c r="O60" s="13"/>
      <c r="P60" s="13"/>
      <c r="Q60" s="13"/>
      <c r="R60" s="13"/>
      <c r="S60" s="13"/>
      <c r="T60" s="13"/>
      <c r="U60" s="13"/>
      <c r="V60" s="13"/>
      <c r="W60" s="13"/>
    </row>
    <row r="61" spans="1:23" s="169" customFormat="1">
      <c r="A61" s="13"/>
      <c r="B61" s="13"/>
      <c r="C61" s="13"/>
      <c r="D61" s="13"/>
      <c r="E61" s="13"/>
      <c r="F61" s="13"/>
      <c r="G61" s="13"/>
      <c r="H61" s="13"/>
      <c r="I61" s="13"/>
      <c r="J61" s="13"/>
      <c r="K61" s="13"/>
      <c r="L61" s="13"/>
      <c r="M61" s="13"/>
      <c r="N61" s="13"/>
      <c r="O61" s="13"/>
      <c r="P61" s="13"/>
      <c r="Q61" s="13"/>
      <c r="R61" s="13"/>
      <c r="S61" s="13"/>
      <c r="T61" s="13"/>
      <c r="U61" s="13"/>
      <c r="V61" s="13"/>
      <c r="W61" s="13"/>
    </row>
    <row r="62" spans="1:23" s="169" customFormat="1">
      <c r="A62" s="13"/>
      <c r="B62" s="13"/>
      <c r="C62" s="13"/>
      <c r="D62" s="13"/>
      <c r="E62" s="13"/>
      <c r="F62" s="13"/>
      <c r="G62" s="13"/>
      <c r="H62" s="13"/>
      <c r="I62" s="13"/>
      <c r="J62" s="13"/>
      <c r="K62" s="13"/>
      <c r="L62" s="13"/>
      <c r="M62" s="13"/>
      <c r="N62" s="13"/>
      <c r="O62" s="13"/>
      <c r="P62" s="13"/>
      <c r="Q62" s="13"/>
      <c r="R62" s="13"/>
      <c r="S62" s="13"/>
      <c r="T62" s="13"/>
      <c r="U62" s="13"/>
      <c r="V62" s="13"/>
      <c r="W62" s="13"/>
    </row>
    <row r="63" spans="1:23" s="169" customFormat="1">
      <c r="A63" s="13"/>
      <c r="B63" s="13"/>
      <c r="C63" s="13"/>
      <c r="D63" s="13"/>
      <c r="E63" s="13"/>
      <c r="F63" s="13"/>
      <c r="G63" s="13"/>
      <c r="H63" s="13"/>
      <c r="I63" s="13"/>
      <c r="J63" s="13"/>
      <c r="K63" s="13"/>
      <c r="L63" s="13"/>
      <c r="M63" s="13"/>
      <c r="N63" s="13"/>
      <c r="O63" s="13"/>
      <c r="P63" s="13"/>
      <c r="Q63" s="13"/>
      <c r="R63" s="13"/>
      <c r="S63" s="13"/>
      <c r="T63" s="13"/>
      <c r="U63" s="13"/>
      <c r="V63" s="13"/>
      <c r="W63" s="13"/>
    </row>
    <row r="64" spans="1:23" s="169" customFormat="1">
      <c r="A64" s="13"/>
      <c r="B64" s="13"/>
      <c r="C64" s="13"/>
      <c r="D64" s="13"/>
      <c r="E64" s="13"/>
      <c r="F64" s="13"/>
      <c r="G64" s="13"/>
      <c r="H64" s="13"/>
      <c r="I64" s="13"/>
      <c r="J64" s="13"/>
      <c r="K64" s="13"/>
      <c r="L64" s="13"/>
      <c r="M64" s="13"/>
      <c r="N64" s="13"/>
      <c r="O64" s="13"/>
      <c r="P64" s="13"/>
      <c r="Q64" s="13"/>
      <c r="R64" s="13"/>
      <c r="S64" s="13"/>
      <c r="T64" s="13"/>
      <c r="U64" s="13"/>
      <c r="V64" s="13"/>
      <c r="W64" s="13"/>
    </row>
    <row r="65" spans="1:23" s="169" customFormat="1">
      <c r="A65" s="13"/>
      <c r="B65" s="13"/>
      <c r="C65" s="13"/>
      <c r="D65" s="13"/>
      <c r="E65" s="13"/>
      <c r="F65" s="13"/>
      <c r="G65" s="13"/>
      <c r="H65" s="13"/>
      <c r="I65" s="13"/>
      <c r="J65" s="13"/>
      <c r="K65" s="13"/>
      <c r="L65" s="13"/>
      <c r="M65" s="13"/>
      <c r="N65" s="13"/>
      <c r="O65" s="13"/>
      <c r="P65" s="13"/>
      <c r="Q65" s="13"/>
      <c r="R65" s="13"/>
      <c r="S65" s="13"/>
      <c r="T65" s="13"/>
      <c r="U65" s="13"/>
      <c r="V65" s="13"/>
      <c r="W65" s="13"/>
    </row>
    <row r="66" spans="1:23" s="169" customFormat="1">
      <c r="A66" s="13"/>
      <c r="B66" s="13"/>
      <c r="C66" s="13"/>
      <c r="D66" s="13"/>
      <c r="E66" s="13"/>
      <c r="F66" s="13"/>
      <c r="G66" s="13"/>
      <c r="H66" s="13"/>
      <c r="I66" s="13"/>
      <c r="J66" s="13"/>
      <c r="K66" s="13"/>
      <c r="L66" s="13"/>
      <c r="M66" s="13"/>
      <c r="N66" s="13"/>
      <c r="O66" s="13"/>
      <c r="P66" s="13"/>
      <c r="Q66" s="13"/>
      <c r="R66" s="13"/>
      <c r="S66" s="13"/>
      <c r="T66" s="13"/>
      <c r="U66" s="13"/>
      <c r="V66" s="13"/>
      <c r="W66" s="13"/>
    </row>
    <row r="67" spans="1:23" s="169" customFormat="1">
      <c r="A67" s="13"/>
      <c r="B67" s="13"/>
      <c r="C67" s="13"/>
      <c r="D67" s="13"/>
      <c r="E67" s="13"/>
      <c r="F67" s="13"/>
      <c r="G67" s="13"/>
      <c r="H67" s="13"/>
      <c r="I67" s="13"/>
      <c r="J67" s="13"/>
      <c r="K67" s="13"/>
      <c r="L67" s="13"/>
      <c r="M67" s="13"/>
      <c r="N67" s="13"/>
      <c r="O67" s="13"/>
      <c r="P67" s="13"/>
      <c r="Q67" s="13"/>
      <c r="R67" s="13"/>
      <c r="S67" s="13"/>
      <c r="T67" s="13"/>
      <c r="U67" s="13"/>
      <c r="V67" s="13"/>
      <c r="W67" s="13"/>
    </row>
    <row r="68" spans="1:23" s="169" customFormat="1">
      <c r="A68" s="13"/>
      <c r="B68" s="13"/>
      <c r="C68" s="13"/>
      <c r="D68" s="13"/>
      <c r="E68" s="13"/>
      <c r="F68" s="13"/>
      <c r="G68" s="13"/>
      <c r="H68" s="13"/>
      <c r="I68" s="13"/>
      <c r="J68" s="13"/>
      <c r="K68" s="13"/>
      <c r="L68" s="13"/>
      <c r="M68" s="13"/>
      <c r="N68" s="13"/>
      <c r="O68" s="13"/>
      <c r="P68" s="13"/>
      <c r="Q68" s="13"/>
      <c r="R68" s="13"/>
      <c r="S68" s="13"/>
      <c r="T68" s="13"/>
      <c r="U68" s="13"/>
      <c r="V68" s="13"/>
      <c r="W68" s="13"/>
    </row>
    <row r="69" spans="1:23" s="169" customFormat="1">
      <c r="A69" s="13"/>
      <c r="B69" s="13"/>
      <c r="C69" s="13"/>
      <c r="D69" s="13"/>
      <c r="E69" s="13"/>
      <c r="F69" s="13"/>
      <c r="G69" s="13"/>
      <c r="H69" s="13"/>
      <c r="I69" s="13"/>
      <c r="J69" s="13"/>
      <c r="K69" s="13"/>
      <c r="L69" s="13"/>
      <c r="M69" s="13"/>
      <c r="N69" s="13"/>
      <c r="O69" s="13"/>
      <c r="P69" s="13"/>
      <c r="Q69" s="13"/>
      <c r="R69" s="13"/>
      <c r="S69" s="13"/>
      <c r="T69" s="13"/>
      <c r="U69" s="13"/>
      <c r="V69" s="13"/>
      <c r="W69" s="13"/>
    </row>
    <row r="70" spans="1:23" s="169" customFormat="1">
      <c r="A70" s="13"/>
      <c r="B70" s="13"/>
      <c r="C70" s="13"/>
      <c r="D70" s="13"/>
      <c r="E70" s="13"/>
      <c r="F70" s="13"/>
      <c r="G70" s="13"/>
      <c r="H70" s="13"/>
      <c r="I70" s="13"/>
      <c r="J70" s="13"/>
      <c r="K70" s="13"/>
      <c r="L70" s="13"/>
      <c r="M70" s="13"/>
      <c r="N70" s="13"/>
      <c r="O70" s="13"/>
      <c r="P70" s="13"/>
      <c r="Q70" s="13"/>
      <c r="R70" s="13"/>
      <c r="S70" s="13"/>
      <c r="T70" s="13"/>
      <c r="U70" s="13"/>
      <c r="V70" s="13"/>
      <c r="W70" s="13"/>
    </row>
    <row r="71" spans="1:23" s="169" customFormat="1">
      <c r="A71" s="13"/>
      <c r="B71" s="13"/>
      <c r="C71" s="13"/>
      <c r="D71" s="13"/>
      <c r="E71" s="13"/>
      <c r="F71" s="13"/>
      <c r="G71" s="13"/>
      <c r="H71" s="13"/>
      <c r="I71" s="13"/>
      <c r="J71" s="13"/>
      <c r="K71" s="13"/>
      <c r="L71" s="13"/>
      <c r="M71" s="13"/>
      <c r="N71" s="13"/>
      <c r="O71" s="13"/>
      <c r="P71" s="13"/>
      <c r="Q71" s="13"/>
      <c r="R71" s="13"/>
      <c r="S71" s="13"/>
      <c r="T71" s="13"/>
      <c r="U71" s="13"/>
      <c r="V71" s="13"/>
      <c r="W71" s="13"/>
    </row>
    <row r="72" spans="1:23" s="169" customFormat="1">
      <c r="A72" s="13"/>
      <c r="B72" s="13"/>
      <c r="C72" s="13"/>
      <c r="D72" s="13"/>
      <c r="E72" s="13"/>
      <c r="F72" s="13"/>
      <c r="G72" s="13"/>
      <c r="H72" s="13"/>
      <c r="I72" s="13"/>
      <c r="J72" s="13"/>
      <c r="K72" s="13"/>
      <c r="L72" s="13"/>
      <c r="M72" s="13"/>
      <c r="N72" s="13"/>
      <c r="O72" s="13"/>
      <c r="P72" s="13"/>
      <c r="Q72" s="13"/>
      <c r="R72" s="13"/>
      <c r="S72" s="13"/>
      <c r="T72" s="13"/>
      <c r="U72" s="13"/>
      <c r="V72" s="13"/>
      <c r="W72" s="13"/>
    </row>
    <row r="73" spans="1:23" s="169" customFormat="1">
      <c r="A73" s="13"/>
      <c r="B73" s="13"/>
      <c r="C73" s="13"/>
      <c r="D73" s="13"/>
      <c r="E73" s="13"/>
      <c r="F73" s="13"/>
      <c r="G73" s="13"/>
      <c r="H73" s="13"/>
      <c r="I73" s="13"/>
      <c r="J73" s="13"/>
      <c r="K73" s="13"/>
      <c r="L73" s="13"/>
      <c r="M73" s="13"/>
      <c r="N73" s="13"/>
      <c r="O73" s="13"/>
      <c r="P73" s="13"/>
      <c r="Q73" s="13"/>
      <c r="R73" s="13"/>
      <c r="S73" s="13"/>
      <c r="T73" s="13"/>
      <c r="U73" s="13"/>
      <c r="V73" s="13"/>
      <c r="W73" s="13"/>
    </row>
    <row r="74" spans="1:23" s="169" customFormat="1">
      <c r="A74" s="13"/>
      <c r="B74" s="13"/>
      <c r="C74" s="13"/>
      <c r="D74" s="13"/>
      <c r="E74" s="13"/>
      <c r="F74" s="13"/>
      <c r="G74" s="13"/>
      <c r="H74" s="13"/>
      <c r="I74" s="13"/>
      <c r="J74" s="13"/>
      <c r="K74" s="13"/>
      <c r="L74" s="13"/>
      <c r="M74" s="13"/>
      <c r="N74" s="13"/>
      <c r="O74" s="13"/>
      <c r="P74" s="13"/>
      <c r="Q74" s="13"/>
      <c r="R74" s="13"/>
      <c r="S74" s="13"/>
      <c r="T74" s="13"/>
      <c r="U74" s="13"/>
      <c r="V74" s="13"/>
      <c r="W74" s="13"/>
    </row>
    <row r="75" spans="1:23" s="169" customFormat="1">
      <c r="A75" s="13"/>
      <c r="B75" s="13"/>
      <c r="C75" s="13"/>
      <c r="D75" s="13"/>
      <c r="E75" s="13"/>
      <c r="F75" s="13"/>
      <c r="G75" s="13"/>
      <c r="H75" s="13"/>
      <c r="I75" s="13"/>
      <c r="J75" s="13"/>
      <c r="K75" s="13"/>
      <c r="L75" s="13"/>
      <c r="M75" s="13"/>
      <c r="N75" s="13"/>
      <c r="O75" s="13"/>
      <c r="P75" s="13"/>
      <c r="Q75" s="13"/>
      <c r="R75" s="13"/>
      <c r="S75" s="13"/>
      <c r="T75" s="13"/>
      <c r="U75" s="13"/>
      <c r="V75" s="13"/>
      <c r="W75" s="13"/>
    </row>
    <row r="76" spans="1:23" s="169" customFormat="1">
      <c r="A76" s="13"/>
      <c r="B76" s="13"/>
      <c r="C76" s="13"/>
      <c r="D76" s="13"/>
      <c r="E76" s="13"/>
      <c r="F76" s="13"/>
      <c r="G76" s="13"/>
      <c r="H76" s="13"/>
      <c r="I76" s="13"/>
      <c r="J76" s="13"/>
      <c r="K76" s="13"/>
      <c r="L76" s="13"/>
      <c r="M76" s="13"/>
      <c r="N76" s="13"/>
      <c r="O76" s="13"/>
      <c r="P76" s="13"/>
      <c r="Q76" s="13"/>
      <c r="R76" s="13"/>
      <c r="S76" s="13"/>
      <c r="T76" s="13"/>
      <c r="U76" s="13"/>
      <c r="V76" s="13"/>
      <c r="W76" s="13"/>
    </row>
    <row r="77" spans="1:23" s="169" customFormat="1">
      <c r="A77" s="13"/>
      <c r="B77" s="13"/>
      <c r="C77" s="13"/>
      <c r="D77" s="13"/>
      <c r="E77" s="13"/>
      <c r="F77" s="13"/>
      <c r="G77" s="13"/>
      <c r="H77" s="13"/>
      <c r="I77" s="13"/>
      <c r="J77" s="13"/>
      <c r="K77" s="13"/>
      <c r="L77" s="13"/>
      <c r="M77" s="13"/>
      <c r="N77" s="13"/>
      <c r="O77" s="13"/>
      <c r="P77" s="13"/>
      <c r="Q77" s="13"/>
      <c r="R77" s="13"/>
      <c r="S77" s="13"/>
      <c r="T77" s="13"/>
      <c r="U77" s="13"/>
      <c r="V77" s="13"/>
      <c r="W77" s="13"/>
    </row>
    <row r="78" spans="1:23">
      <c r="A78" s="26"/>
      <c r="B78" s="26"/>
      <c r="C78" s="26"/>
      <c r="D78" s="26"/>
      <c r="E78" s="26"/>
      <c r="F78" s="26"/>
      <c r="G78" s="26"/>
      <c r="H78" s="26"/>
      <c r="I78" s="26"/>
      <c r="J78" s="26"/>
      <c r="K78" s="26"/>
      <c r="L78" s="26"/>
      <c r="M78" s="26"/>
      <c r="N78" s="26"/>
      <c r="O78" s="26"/>
      <c r="P78" s="26"/>
      <c r="Q78" s="26"/>
      <c r="R78" s="26"/>
      <c r="S78" s="26"/>
      <c r="T78" s="26"/>
      <c r="U78" s="26"/>
      <c r="V78" s="26"/>
      <c r="W78" s="26"/>
    </row>
    <row r="79" spans="1:23">
      <c r="A79" s="26"/>
      <c r="B79" s="26"/>
      <c r="C79" s="26"/>
      <c r="D79" s="26"/>
      <c r="E79" s="26"/>
      <c r="F79" s="26"/>
      <c r="G79" s="26"/>
      <c r="H79" s="26"/>
      <c r="I79" s="26"/>
      <c r="J79" s="26"/>
      <c r="K79" s="26"/>
      <c r="L79" s="26"/>
      <c r="M79" s="26"/>
      <c r="N79" s="26"/>
      <c r="O79" s="26"/>
      <c r="P79" s="26"/>
      <c r="Q79" s="26"/>
      <c r="R79" s="26"/>
      <c r="S79" s="26"/>
      <c r="T79" s="26"/>
      <c r="U79" s="26"/>
      <c r="V79" s="26"/>
      <c r="W79" s="26"/>
    </row>
    <row r="80" spans="1:23">
      <c r="A80" s="26"/>
      <c r="B80" s="26"/>
      <c r="C80" s="26"/>
      <c r="D80" s="26"/>
      <c r="E80" s="26"/>
      <c r="F80" s="26"/>
      <c r="G80" s="26"/>
      <c r="H80" s="26"/>
      <c r="I80" s="26"/>
      <c r="J80" s="26"/>
      <c r="K80" s="26"/>
      <c r="L80" s="26"/>
      <c r="M80" s="26"/>
      <c r="N80" s="26"/>
      <c r="O80" s="26"/>
      <c r="P80" s="26"/>
      <c r="Q80" s="26"/>
      <c r="R80" s="26"/>
      <c r="S80" s="26"/>
      <c r="T80" s="26"/>
      <c r="U80" s="26"/>
      <c r="V80" s="26"/>
      <c r="W80" s="26"/>
    </row>
    <row r="81" spans="1:23">
      <c r="A81" s="26"/>
      <c r="B81" s="26"/>
      <c r="C81" s="26"/>
      <c r="D81" s="26"/>
      <c r="E81" s="26"/>
      <c r="F81" s="26"/>
      <c r="G81" s="26"/>
      <c r="H81" s="26"/>
      <c r="I81" s="26"/>
      <c r="J81" s="26"/>
      <c r="K81" s="26"/>
      <c r="L81" s="26"/>
      <c r="M81" s="26"/>
      <c r="N81" s="26"/>
      <c r="O81" s="26"/>
      <c r="P81" s="26"/>
      <c r="Q81" s="26"/>
      <c r="R81" s="26"/>
      <c r="S81" s="26"/>
      <c r="T81" s="26"/>
      <c r="U81" s="26"/>
      <c r="V81" s="26"/>
      <c r="W81" s="26"/>
    </row>
    <row r="82" spans="1:23">
      <c r="A82" s="26"/>
      <c r="B82" s="26"/>
      <c r="C82" s="26"/>
      <c r="D82" s="26"/>
      <c r="E82" s="26"/>
      <c r="F82" s="26"/>
      <c r="G82" s="26"/>
      <c r="H82" s="26"/>
      <c r="I82" s="26"/>
      <c r="J82" s="26"/>
      <c r="K82" s="26"/>
      <c r="L82" s="26"/>
      <c r="M82" s="26"/>
      <c r="N82" s="26"/>
      <c r="O82" s="26"/>
      <c r="P82" s="26"/>
      <c r="Q82" s="26"/>
      <c r="R82" s="26"/>
      <c r="S82" s="26"/>
      <c r="T82" s="26"/>
      <c r="U82" s="26"/>
      <c r="V82" s="26"/>
      <c r="W82" s="26"/>
    </row>
    <row r="83" spans="1:23">
      <c r="A83" s="26"/>
      <c r="B83" s="26"/>
      <c r="C83" s="26"/>
      <c r="D83" s="26"/>
      <c r="E83" s="26"/>
      <c r="F83" s="26"/>
      <c r="G83" s="26"/>
      <c r="H83" s="26"/>
      <c r="I83" s="26"/>
      <c r="J83" s="26"/>
      <c r="K83" s="26"/>
      <c r="L83" s="26"/>
      <c r="M83" s="26"/>
      <c r="N83" s="26"/>
      <c r="O83" s="26"/>
      <c r="P83" s="26"/>
      <c r="Q83" s="26"/>
      <c r="R83" s="26"/>
      <c r="S83" s="26"/>
      <c r="T83" s="26"/>
      <c r="U83" s="26"/>
      <c r="V83" s="26"/>
      <c r="W83" s="26"/>
    </row>
    <row r="84" spans="1:23">
      <c r="A84" s="26"/>
      <c r="B84" s="26"/>
      <c r="C84" s="26"/>
      <c r="D84" s="26"/>
      <c r="E84" s="26"/>
      <c r="F84" s="26"/>
      <c r="G84" s="26"/>
      <c r="H84" s="26"/>
      <c r="I84" s="26"/>
      <c r="J84" s="26"/>
      <c r="K84" s="26"/>
      <c r="L84" s="26"/>
      <c r="M84" s="26"/>
      <c r="N84" s="26"/>
      <c r="O84" s="26"/>
      <c r="P84" s="26"/>
      <c r="Q84" s="26"/>
      <c r="R84" s="26"/>
      <c r="S84" s="26"/>
      <c r="T84" s="26"/>
      <c r="U84" s="26"/>
      <c r="V84" s="26"/>
      <c r="W84" s="26"/>
    </row>
    <row r="85" spans="1:23">
      <c r="A85" s="26"/>
      <c r="B85" s="26"/>
      <c r="C85" s="26"/>
      <c r="D85" s="26"/>
      <c r="E85" s="26"/>
      <c r="F85" s="26"/>
      <c r="G85" s="26"/>
      <c r="H85" s="26"/>
      <c r="I85" s="26"/>
      <c r="J85" s="26"/>
      <c r="K85" s="26"/>
      <c r="L85" s="26"/>
      <c r="M85" s="26"/>
      <c r="N85" s="26"/>
      <c r="O85" s="26"/>
      <c r="P85" s="26"/>
      <c r="Q85" s="26"/>
      <c r="R85" s="26"/>
      <c r="S85" s="26"/>
      <c r="T85" s="26"/>
      <c r="U85" s="26"/>
      <c r="V85" s="26"/>
      <c r="W85" s="26"/>
    </row>
    <row r="86" spans="1:23">
      <c r="A86" s="26"/>
      <c r="B86" s="26"/>
      <c r="C86" s="26"/>
      <c r="D86" s="26"/>
      <c r="E86" s="26"/>
      <c r="F86" s="26"/>
      <c r="G86" s="26"/>
      <c r="H86" s="26"/>
      <c r="I86" s="26"/>
      <c r="J86" s="26"/>
      <c r="K86" s="26"/>
      <c r="L86" s="26"/>
      <c r="M86" s="26"/>
      <c r="N86" s="26"/>
      <c r="O86" s="26"/>
      <c r="P86" s="26"/>
      <c r="Q86" s="26"/>
      <c r="R86" s="26"/>
      <c r="S86" s="26"/>
      <c r="T86" s="26"/>
      <c r="U86" s="26"/>
      <c r="V86" s="26"/>
      <c r="W86" s="26"/>
    </row>
    <row r="87" spans="1:23">
      <c r="A87" s="26"/>
      <c r="B87" s="26"/>
      <c r="C87" s="26"/>
      <c r="D87" s="26"/>
      <c r="E87" s="26"/>
      <c r="F87" s="26"/>
      <c r="G87" s="26"/>
      <c r="H87" s="26"/>
      <c r="I87" s="26"/>
      <c r="J87" s="26"/>
      <c r="K87" s="26"/>
      <c r="L87" s="26"/>
      <c r="M87" s="26"/>
      <c r="N87" s="26"/>
      <c r="O87" s="26"/>
      <c r="P87" s="26"/>
      <c r="Q87" s="26"/>
      <c r="R87" s="26"/>
      <c r="S87" s="26"/>
      <c r="T87" s="26"/>
      <c r="U87" s="26"/>
      <c r="V87" s="26"/>
      <c r="W87" s="26"/>
    </row>
    <row r="88" spans="1:23">
      <c r="A88" s="26"/>
      <c r="B88" s="26"/>
      <c r="C88" s="26"/>
      <c r="D88" s="26"/>
      <c r="E88" s="26"/>
      <c r="F88" s="26"/>
      <c r="G88" s="26"/>
      <c r="H88" s="26"/>
      <c r="I88" s="26"/>
      <c r="J88" s="26"/>
      <c r="K88" s="26"/>
      <c r="L88" s="26"/>
      <c r="M88" s="26"/>
      <c r="N88" s="26"/>
      <c r="O88" s="26"/>
      <c r="P88" s="26"/>
      <c r="Q88" s="26"/>
      <c r="R88" s="26"/>
      <c r="S88" s="26"/>
      <c r="T88" s="26"/>
      <c r="U88" s="26"/>
      <c r="V88" s="26"/>
      <c r="W88" s="26"/>
    </row>
    <row r="89" spans="1:23">
      <c r="A89" s="26"/>
      <c r="B89" s="26"/>
      <c r="C89" s="26"/>
      <c r="D89" s="26"/>
      <c r="E89" s="26"/>
      <c r="F89" s="26"/>
      <c r="G89" s="26"/>
      <c r="H89" s="26"/>
      <c r="I89" s="26"/>
      <c r="J89" s="26"/>
      <c r="K89" s="26"/>
      <c r="L89" s="26"/>
      <c r="M89" s="26"/>
      <c r="N89" s="26"/>
      <c r="O89" s="26"/>
      <c r="P89" s="26"/>
      <c r="Q89" s="26"/>
      <c r="R89" s="26"/>
      <c r="S89" s="26"/>
      <c r="T89" s="26"/>
      <c r="U89" s="26"/>
      <c r="V89" s="26"/>
      <c r="W89" s="26"/>
    </row>
    <row r="90" spans="1:23">
      <c r="A90" s="26"/>
      <c r="B90" s="26"/>
      <c r="C90" s="26"/>
      <c r="D90" s="26"/>
      <c r="E90" s="26"/>
      <c r="F90" s="26"/>
      <c r="G90" s="26"/>
      <c r="H90" s="26"/>
      <c r="I90" s="26"/>
      <c r="J90" s="26"/>
      <c r="K90" s="26"/>
      <c r="L90" s="26"/>
      <c r="M90" s="26"/>
      <c r="N90" s="26"/>
      <c r="O90" s="26"/>
      <c r="P90" s="26"/>
      <c r="Q90" s="26"/>
      <c r="R90" s="26"/>
      <c r="S90" s="26"/>
      <c r="T90" s="26"/>
      <c r="U90" s="26"/>
      <c r="V90" s="26"/>
      <c r="W90" s="26"/>
    </row>
    <row r="91" spans="1:23">
      <c r="A91" s="26"/>
      <c r="B91" s="26"/>
      <c r="C91" s="26"/>
      <c r="D91" s="26"/>
      <c r="E91" s="26"/>
      <c r="F91" s="26"/>
      <c r="G91" s="26"/>
      <c r="H91" s="26"/>
      <c r="I91" s="26"/>
      <c r="J91" s="26"/>
      <c r="K91" s="26"/>
      <c r="L91" s="26"/>
      <c r="M91" s="26"/>
      <c r="N91" s="26"/>
      <c r="O91" s="26"/>
      <c r="P91" s="26"/>
      <c r="Q91" s="26"/>
      <c r="R91" s="26"/>
      <c r="S91" s="26"/>
      <c r="T91" s="26"/>
      <c r="U91" s="26"/>
      <c r="V91" s="26"/>
      <c r="W91" s="26"/>
    </row>
    <row r="92" spans="1:23">
      <c r="A92" s="26"/>
      <c r="B92" s="26"/>
      <c r="C92" s="26"/>
      <c r="D92" s="26"/>
      <c r="E92" s="26"/>
      <c r="F92" s="26"/>
      <c r="G92" s="26"/>
      <c r="H92" s="26"/>
      <c r="I92" s="26"/>
      <c r="J92" s="26"/>
      <c r="K92" s="26"/>
      <c r="L92" s="26"/>
      <c r="M92" s="26"/>
      <c r="N92" s="26"/>
      <c r="O92" s="26"/>
      <c r="P92" s="26"/>
      <c r="Q92" s="26"/>
      <c r="R92" s="26"/>
      <c r="S92" s="26"/>
      <c r="T92" s="26"/>
      <c r="U92" s="26"/>
      <c r="V92" s="26"/>
      <c r="W92" s="26"/>
    </row>
    <row r="93" spans="1:23">
      <c r="A93" s="26"/>
      <c r="B93" s="26"/>
      <c r="C93" s="26"/>
      <c r="D93" s="26"/>
      <c r="E93" s="26"/>
      <c r="F93" s="26"/>
      <c r="G93" s="26"/>
      <c r="H93" s="26"/>
      <c r="I93" s="26"/>
      <c r="J93" s="26"/>
      <c r="K93" s="26"/>
      <c r="L93" s="26"/>
      <c r="M93" s="26"/>
      <c r="N93" s="26"/>
      <c r="O93" s="26"/>
      <c r="P93" s="26"/>
      <c r="Q93" s="26"/>
      <c r="R93" s="26"/>
      <c r="S93" s="26"/>
      <c r="T93" s="26"/>
      <c r="U93" s="26"/>
      <c r="V93" s="26"/>
      <c r="W93" s="26"/>
    </row>
    <row r="94" spans="1:23">
      <c r="A94" s="26"/>
      <c r="B94" s="26"/>
      <c r="C94" s="26"/>
      <c r="D94" s="26"/>
      <c r="E94" s="26"/>
      <c r="F94" s="26"/>
      <c r="G94" s="26"/>
      <c r="H94" s="26"/>
      <c r="I94" s="26"/>
      <c r="J94" s="26"/>
      <c r="K94" s="26"/>
      <c r="L94" s="26"/>
      <c r="M94" s="26"/>
      <c r="N94" s="26"/>
      <c r="O94" s="26"/>
      <c r="P94" s="26"/>
      <c r="Q94" s="26"/>
      <c r="R94" s="26"/>
      <c r="S94" s="26"/>
      <c r="T94" s="26"/>
      <c r="U94" s="26"/>
      <c r="V94" s="26"/>
      <c r="W94" s="26"/>
    </row>
    <row r="95" spans="1:23">
      <c r="A95" s="26"/>
      <c r="B95" s="26"/>
      <c r="C95" s="26"/>
      <c r="D95" s="26"/>
      <c r="E95" s="26"/>
      <c r="F95" s="26"/>
      <c r="G95" s="26"/>
      <c r="H95" s="26"/>
      <c r="I95" s="26"/>
      <c r="J95" s="26"/>
      <c r="K95" s="26"/>
      <c r="L95" s="26"/>
      <c r="M95" s="26"/>
      <c r="N95" s="26"/>
      <c r="O95" s="26"/>
      <c r="P95" s="26"/>
      <c r="Q95" s="26"/>
      <c r="R95" s="26"/>
      <c r="S95" s="26"/>
      <c r="T95" s="26"/>
      <c r="U95" s="26"/>
      <c r="V95" s="26"/>
      <c r="W95" s="26"/>
    </row>
    <row r="96" spans="1:23">
      <c r="A96" s="26"/>
      <c r="B96" s="26"/>
      <c r="C96" s="26"/>
      <c r="D96" s="26"/>
      <c r="E96" s="26"/>
      <c r="F96" s="26"/>
      <c r="G96" s="26"/>
      <c r="H96" s="26"/>
      <c r="I96" s="26"/>
      <c r="J96" s="26"/>
      <c r="K96" s="26"/>
      <c r="L96" s="26"/>
      <c r="M96" s="26"/>
      <c r="N96" s="26"/>
      <c r="O96" s="26"/>
      <c r="P96" s="26"/>
      <c r="Q96" s="26"/>
      <c r="R96" s="26"/>
      <c r="S96" s="26"/>
      <c r="T96" s="26"/>
      <c r="U96" s="26"/>
      <c r="V96" s="26"/>
      <c r="W96" s="26"/>
    </row>
    <row r="97" spans="1:23">
      <c r="A97" s="26"/>
      <c r="B97" s="26"/>
      <c r="C97" s="26"/>
      <c r="D97" s="26"/>
      <c r="E97" s="26"/>
      <c r="F97" s="26"/>
      <c r="G97" s="26"/>
      <c r="H97" s="26"/>
      <c r="I97" s="26"/>
      <c r="J97" s="26"/>
      <c r="K97" s="26"/>
      <c r="L97" s="26"/>
      <c r="M97" s="26"/>
      <c r="N97" s="26"/>
      <c r="O97" s="26"/>
      <c r="P97" s="26"/>
      <c r="Q97" s="26"/>
      <c r="R97" s="26"/>
      <c r="S97" s="26"/>
      <c r="T97" s="26"/>
      <c r="U97" s="26"/>
      <c r="V97" s="26"/>
      <c r="W97" s="26"/>
    </row>
    <row r="98" spans="1:23">
      <c r="A98" s="26"/>
      <c r="B98" s="26"/>
      <c r="C98" s="26"/>
      <c r="D98" s="26"/>
      <c r="E98" s="26"/>
      <c r="F98" s="26"/>
      <c r="G98" s="26"/>
      <c r="H98" s="26"/>
      <c r="I98" s="26"/>
      <c r="J98" s="26"/>
      <c r="K98" s="26"/>
      <c r="L98" s="26"/>
      <c r="M98" s="26"/>
      <c r="N98" s="26"/>
      <c r="O98" s="26"/>
      <c r="P98" s="26"/>
      <c r="Q98" s="26"/>
      <c r="R98" s="26"/>
      <c r="S98" s="26"/>
      <c r="T98" s="26"/>
      <c r="U98" s="26"/>
      <c r="V98" s="26"/>
      <c r="W98" s="26"/>
    </row>
    <row r="99" spans="1:23">
      <c r="A99" s="26"/>
      <c r="B99" s="26"/>
      <c r="C99" s="26"/>
      <c r="D99" s="26"/>
      <c r="E99" s="26"/>
      <c r="F99" s="26"/>
      <c r="G99" s="26"/>
      <c r="H99" s="26"/>
      <c r="I99" s="26"/>
      <c r="J99" s="26"/>
      <c r="K99" s="26"/>
      <c r="L99" s="26"/>
      <c r="M99" s="26"/>
      <c r="N99" s="26"/>
      <c r="O99" s="26"/>
      <c r="P99" s="26"/>
      <c r="Q99" s="26"/>
      <c r="R99" s="26"/>
      <c r="S99" s="26"/>
      <c r="T99" s="26"/>
      <c r="U99" s="26"/>
      <c r="V99" s="26"/>
      <c r="W99" s="26"/>
    </row>
    <row r="100" spans="1:23">
      <c r="A100" s="26"/>
      <c r="B100" s="26"/>
      <c r="C100" s="26"/>
      <c r="D100" s="26"/>
      <c r="E100" s="26"/>
      <c r="F100" s="26"/>
      <c r="G100" s="26"/>
      <c r="H100" s="26"/>
      <c r="I100" s="26"/>
      <c r="J100" s="26"/>
      <c r="K100" s="26"/>
      <c r="L100" s="26"/>
      <c r="M100" s="26"/>
      <c r="N100" s="26"/>
      <c r="O100" s="26"/>
      <c r="P100" s="26"/>
      <c r="Q100" s="26"/>
      <c r="R100" s="26"/>
      <c r="S100" s="26"/>
      <c r="T100" s="26"/>
      <c r="U100" s="26"/>
      <c r="V100" s="26"/>
      <c r="W100" s="26"/>
    </row>
    <row r="101" spans="1:23">
      <c r="A101" s="26"/>
      <c r="B101" s="26"/>
      <c r="C101" s="26"/>
      <c r="D101" s="26"/>
      <c r="E101" s="26"/>
      <c r="F101" s="26"/>
      <c r="G101" s="26"/>
      <c r="H101" s="26"/>
      <c r="I101" s="26"/>
      <c r="J101" s="26"/>
      <c r="K101" s="26"/>
      <c r="L101" s="26"/>
      <c r="M101" s="26"/>
      <c r="N101" s="26"/>
      <c r="O101" s="26"/>
      <c r="P101" s="26"/>
      <c r="Q101" s="26"/>
      <c r="R101" s="26"/>
      <c r="S101" s="26"/>
      <c r="T101" s="26"/>
      <c r="U101" s="26"/>
      <c r="V101" s="26"/>
      <c r="W101" s="26"/>
    </row>
    <row r="102" spans="1:23">
      <c r="A102" s="26"/>
      <c r="B102" s="26"/>
      <c r="C102" s="26"/>
      <c r="D102" s="26"/>
      <c r="E102" s="26"/>
      <c r="F102" s="26"/>
      <c r="G102" s="26"/>
      <c r="H102" s="26"/>
      <c r="I102" s="26"/>
      <c r="J102" s="26"/>
      <c r="K102" s="26"/>
      <c r="L102" s="26"/>
      <c r="M102" s="26"/>
      <c r="N102" s="26"/>
      <c r="O102" s="26"/>
      <c r="P102" s="26"/>
      <c r="Q102" s="26"/>
      <c r="R102" s="26"/>
      <c r="S102" s="26"/>
      <c r="T102" s="26"/>
      <c r="U102" s="26"/>
      <c r="V102" s="26"/>
      <c r="W102" s="26"/>
    </row>
    <row r="103" spans="1:23">
      <c r="A103" s="26"/>
      <c r="B103" s="26"/>
      <c r="C103" s="26"/>
      <c r="D103" s="26"/>
      <c r="E103" s="26"/>
      <c r="F103" s="26"/>
      <c r="G103" s="26"/>
      <c r="H103" s="26"/>
      <c r="I103" s="26"/>
      <c r="J103" s="26"/>
      <c r="K103" s="26"/>
      <c r="L103" s="26"/>
      <c r="M103" s="26"/>
      <c r="N103" s="26"/>
      <c r="O103" s="26"/>
      <c r="P103" s="26"/>
      <c r="Q103" s="26"/>
      <c r="R103" s="26"/>
      <c r="S103" s="26"/>
      <c r="T103" s="26"/>
      <c r="U103" s="26"/>
      <c r="V103" s="26"/>
      <c r="W103" s="26"/>
    </row>
    <row r="104" spans="1:23">
      <c r="A104" s="26"/>
      <c r="B104" s="26"/>
      <c r="C104" s="26"/>
      <c r="D104" s="26"/>
      <c r="E104" s="26"/>
      <c r="F104" s="26"/>
      <c r="G104" s="26"/>
      <c r="H104" s="26"/>
      <c r="I104" s="26"/>
      <c r="J104" s="26"/>
      <c r="K104" s="26"/>
      <c r="L104" s="26"/>
      <c r="M104" s="26"/>
      <c r="N104" s="26"/>
      <c r="O104" s="26"/>
      <c r="P104" s="26"/>
      <c r="Q104" s="26"/>
      <c r="R104" s="26"/>
      <c r="S104" s="26"/>
      <c r="T104" s="26"/>
      <c r="U104" s="26"/>
      <c r="V104" s="26"/>
      <c r="W104" s="26"/>
    </row>
    <row r="105" spans="1:23">
      <c r="A105" s="26"/>
      <c r="B105" s="26"/>
      <c r="C105" s="26"/>
      <c r="D105" s="26"/>
      <c r="E105" s="26"/>
      <c r="F105" s="26"/>
      <c r="G105" s="26"/>
      <c r="H105" s="26"/>
      <c r="I105" s="26"/>
      <c r="J105" s="26"/>
      <c r="K105" s="26"/>
      <c r="L105" s="26"/>
      <c r="M105" s="26"/>
      <c r="N105" s="26"/>
      <c r="O105" s="26"/>
      <c r="P105" s="26"/>
      <c r="Q105" s="26"/>
      <c r="R105" s="26"/>
      <c r="S105" s="26"/>
      <c r="T105" s="26"/>
      <c r="U105" s="26"/>
      <c r="V105" s="26"/>
      <c r="W105" s="26"/>
    </row>
    <row r="106" spans="1:23">
      <c r="A106" s="26"/>
      <c r="B106" s="26"/>
      <c r="C106" s="26"/>
      <c r="D106" s="26"/>
      <c r="E106" s="26"/>
      <c r="F106" s="26"/>
      <c r="G106" s="26"/>
      <c r="H106" s="26"/>
      <c r="I106" s="26"/>
      <c r="J106" s="26"/>
      <c r="K106" s="26"/>
      <c r="L106" s="26"/>
      <c r="M106" s="26"/>
      <c r="N106" s="26"/>
      <c r="O106" s="26"/>
      <c r="P106" s="26"/>
      <c r="Q106" s="26"/>
      <c r="R106" s="26"/>
      <c r="S106" s="26"/>
      <c r="T106" s="26"/>
      <c r="U106" s="26"/>
      <c r="V106" s="26"/>
      <c r="W106" s="26"/>
    </row>
    <row r="107" spans="1:23">
      <c r="A107" s="26"/>
      <c r="B107" s="26"/>
      <c r="C107" s="26"/>
      <c r="D107" s="26"/>
      <c r="E107" s="26"/>
      <c r="F107" s="26"/>
      <c r="G107" s="26"/>
      <c r="H107" s="26"/>
      <c r="I107" s="26"/>
      <c r="J107" s="26"/>
      <c r="K107" s="26"/>
      <c r="L107" s="26"/>
      <c r="M107" s="26"/>
      <c r="N107" s="26"/>
      <c r="O107" s="26"/>
      <c r="P107" s="26"/>
      <c r="Q107" s="26"/>
      <c r="R107" s="26"/>
      <c r="S107" s="26"/>
      <c r="T107" s="26"/>
      <c r="U107" s="26"/>
      <c r="V107" s="26"/>
      <c r="W107" s="26"/>
    </row>
    <row r="108" spans="1:23">
      <c r="A108" s="26"/>
      <c r="B108" s="26"/>
      <c r="C108" s="26"/>
      <c r="D108" s="26"/>
      <c r="E108" s="26"/>
      <c r="F108" s="26"/>
      <c r="G108" s="26"/>
      <c r="H108" s="26"/>
      <c r="I108" s="26"/>
      <c r="J108" s="26"/>
      <c r="K108" s="26"/>
      <c r="L108" s="26"/>
      <c r="M108" s="26"/>
      <c r="N108" s="26"/>
      <c r="O108" s="26"/>
      <c r="P108" s="26"/>
      <c r="Q108" s="26"/>
      <c r="R108" s="26"/>
      <c r="S108" s="26"/>
      <c r="T108" s="26"/>
      <c r="U108" s="26"/>
      <c r="V108" s="26"/>
      <c r="W108" s="26"/>
    </row>
    <row r="109" spans="1:23">
      <c r="A109" s="26"/>
      <c r="B109" s="26"/>
      <c r="C109" s="26"/>
      <c r="D109" s="26"/>
      <c r="E109" s="26"/>
      <c r="F109" s="26"/>
      <c r="G109" s="26"/>
      <c r="H109" s="26"/>
      <c r="I109" s="26"/>
      <c r="J109" s="26"/>
      <c r="K109" s="26"/>
      <c r="L109" s="26"/>
      <c r="M109" s="26"/>
      <c r="N109" s="26"/>
      <c r="O109" s="26"/>
      <c r="P109" s="26"/>
      <c r="Q109" s="26"/>
      <c r="R109" s="26"/>
      <c r="S109" s="26"/>
      <c r="T109" s="26"/>
      <c r="U109" s="26"/>
      <c r="V109" s="26"/>
      <c r="W109" s="26"/>
    </row>
    <row r="110" spans="1:23">
      <c r="A110" s="26"/>
      <c r="B110" s="26"/>
      <c r="C110" s="26"/>
      <c r="D110" s="26"/>
      <c r="E110" s="26"/>
      <c r="F110" s="26"/>
      <c r="G110" s="26"/>
      <c r="H110" s="26"/>
      <c r="I110" s="26"/>
      <c r="J110" s="26"/>
      <c r="K110" s="26"/>
      <c r="L110" s="26"/>
      <c r="M110" s="26"/>
      <c r="N110" s="26"/>
      <c r="O110" s="26"/>
      <c r="P110" s="26"/>
      <c r="Q110" s="26"/>
      <c r="R110" s="26"/>
      <c r="S110" s="26"/>
      <c r="T110" s="26"/>
      <c r="U110" s="26"/>
      <c r="V110" s="26"/>
      <c r="W110" s="26"/>
    </row>
    <row r="111" spans="1:23">
      <c r="A111" s="26"/>
      <c r="B111" s="26"/>
      <c r="C111" s="26"/>
      <c r="D111" s="26"/>
      <c r="E111" s="26"/>
      <c r="F111" s="26"/>
      <c r="G111" s="26"/>
      <c r="H111" s="26"/>
      <c r="I111" s="26"/>
      <c r="J111" s="26"/>
      <c r="K111" s="26"/>
      <c r="L111" s="26"/>
      <c r="M111" s="26"/>
      <c r="N111" s="26"/>
      <c r="O111" s="26"/>
      <c r="P111" s="26"/>
      <c r="Q111" s="26"/>
      <c r="R111" s="26"/>
      <c r="S111" s="26"/>
      <c r="T111" s="26"/>
      <c r="U111" s="26"/>
      <c r="V111" s="26"/>
      <c r="W111" s="26"/>
    </row>
    <row r="112" spans="1:23">
      <c r="A112" s="26"/>
      <c r="B112" s="26"/>
      <c r="C112" s="26"/>
      <c r="D112" s="26"/>
      <c r="E112" s="26"/>
      <c r="F112" s="26"/>
      <c r="G112" s="26"/>
      <c r="H112" s="26"/>
      <c r="I112" s="26"/>
      <c r="J112" s="26"/>
      <c r="K112" s="26"/>
      <c r="L112" s="26"/>
      <c r="M112" s="26"/>
      <c r="N112" s="26"/>
      <c r="O112" s="26"/>
      <c r="P112" s="26"/>
      <c r="Q112" s="26"/>
      <c r="R112" s="26"/>
      <c r="S112" s="26"/>
      <c r="T112" s="26"/>
      <c r="U112" s="26"/>
      <c r="V112" s="26"/>
      <c r="W112" s="26"/>
    </row>
    <row r="113" spans="1:23">
      <c r="A113" s="26"/>
      <c r="B113" s="26"/>
      <c r="C113" s="26"/>
      <c r="D113" s="26"/>
      <c r="E113" s="26"/>
      <c r="F113" s="26"/>
      <c r="G113" s="26"/>
      <c r="H113" s="26"/>
      <c r="I113" s="26"/>
      <c r="J113" s="26"/>
      <c r="K113" s="26"/>
      <c r="L113" s="26"/>
      <c r="M113" s="26"/>
      <c r="N113" s="26"/>
      <c r="O113" s="26"/>
      <c r="P113" s="26"/>
      <c r="Q113" s="26"/>
      <c r="R113" s="26"/>
      <c r="S113" s="26"/>
      <c r="T113" s="26"/>
      <c r="U113" s="26"/>
      <c r="V113" s="26"/>
      <c r="W113" s="26"/>
    </row>
    <row r="114" spans="1:23">
      <c r="A114" s="26"/>
      <c r="B114" s="26"/>
      <c r="C114" s="26"/>
      <c r="D114" s="26"/>
      <c r="E114" s="26"/>
      <c r="F114" s="26"/>
      <c r="G114" s="26"/>
      <c r="H114" s="26"/>
      <c r="I114" s="26"/>
      <c r="J114" s="26"/>
      <c r="K114" s="26"/>
      <c r="L114" s="26"/>
      <c r="M114" s="26"/>
      <c r="N114" s="26"/>
      <c r="O114" s="26"/>
      <c r="P114" s="26"/>
      <c r="Q114" s="26"/>
      <c r="R114" s="26"/>
      <c r="S114" s="26"/>
      <c r="T114" s="26"/>
      <c r="U114" s="26"/>
      <c r="V114" s="26"/>
      <c r="W114" s="26"/>
    </row>
    <row r="115" spans="1:23">
      <c r="A115" s="26"/>
      <c r="B115" s="26"/>
      <c r="C115" s="26"/>
      <c r="D115" s="26"/>
      <c r="E115" s="26"/>
      <c r="F115" s="26"/>
      <c r="G115" s="26"/>
      <c r="H115" s="26"/>
      <c r="I115" s="26"/>
      <c r="J115" s="26"/>
      <c r="K115" s="26"/>
      <c r="L115" s="26"/>
      <c r="M115" s="26"/>
      <c r="N115" s="26"/>
      <c r="O115" s="26"/>
      <c r="P115" s="26"/>
      <c r="Q115" s="26"/>
      <c r="R115" s="26"/>
      <c r="S115" s="26"/>
      <c r="T115" s="26"/>
      <c r="U115" s="26"/>
      <c r="V115" s="26"/>
      <c r="W115" s="26"/>
    </row>
    <row r="116" spans="1:23">
      <c r="A116" s="26"/>
      <c r="B116" s="26"/>
      <c r="C116" s="26"/>
      <c r="D116" s="26"/>
      <c r="E116" s="26"/>
      <c r="F116" s="26"/>
      <c r="G116" s="26"/>
      <c r="H116" s="26"/>
      <c r="I116" s="26"/>
      <c r="J116" s="26"/>
      <c r="K116" s="26"/>
      <c r="L116" s="26"/>
      <c r="M116" s="26"/>
      <c r="N116" s="26"/>
      <c r="O116" s="26"/>
      <c r="P116" s="26"/>
      <c r="Q116" s="26"/>
      <c r="R116" s="26"/>
      <c r="S116" s="26"/>
      <c r="T116" s="26"/>
      <c r="U116" s="26"/>
      <c r="V116" s="26"/>
      <c r="W116" s="26"/>
    </row>
    <row r="117" spans="1:23">
      <c r="A117" s="26"/>
      <c r="B117" s="26"/>
      <c r="C117" s="26"/>
      <c r="D117" s="26"/>
      <c r="E117" s="26"/>
      <c r="F117" s="26"/>
      <c r="G117" s="26"/>
      <c r="H117" s="26"/>
      <c r="I117" s="26"/>
      <c r="J117" s="26"/>
      <c r="K117" s="26"/>
      <c r="L117" s="26"/>
      <c r="M117" s="26"/>
      <c r="N117" s="26"/>
      <c r="O117" s="26"/>
      <c r="P117" s="26"/>
      <c r="Q117" s="26"/>
      <c r="R117" s="26"/>
      <c r="S117" s="26"/>
      <c r="T117" s="26"/>
      <c r="U117" s="26"/>
      <c r="V117" s="26"/>
      <c r="W117" s="26"/>
    </row>
    <row r="118" spans="1:23">
      <c r="A118" s="26"/>
      <c r="B118" s="26"/>
      <c r="C118" s="26"/>
      <c r="D118" s="26"/>
      <c r="E118" s="26"/>
      <c r="F118" s="26"/>
      <c r="G118" s="26"/>
      <c r="H118" s="26"/>
      <c r="I118" s="26"/>
      <c r="J118" s="26"/>
      <c r="K118" s="26"/>
      <c r="L118" s="26"/>
      <c r="M118" s="26"/>
      <c r="N118" s="26"/>
      <c r="O118" s="26"/>
      <c r="P118" s="26"/>
      <c r="Q118" s="26"/>
      <c r="R118" s="26"/>
      <c r="S118" s="26"/>
      <c r="T118" s="26"/>
      <c r="U118" s="26"/>
      <c r="V118" s="26"/>
      <c r="W118" s="26"/>
    </row>
    <row r="119" spans="1:23">
      <c r="A119" s="26"/>
      <c r="B119" s="26"/>
      <c r="C119" s="26"/>
      <c r="D119" s="26"/>
      <c r="E119" s="26"/>
      <c r="F119" s="26"/>
      <c r="G119" s="26"/>
      <c r="H119" s="26"/>
      <c r="I119" s="26"/>
      <c r="J119" s="26"/>
      <c r="K119" s="26"/>
      <c r="L119" s="26"/>
      <c r="M119" s="26"/>
      <c r="N119" s="26"/>
      <c r="O119" s="26"/>
      <c r="P119" s="26"/>
      <c r="Q119" s="26"/>
      <c r="R119" s="26"/>
      <c r="S119" s="26"/>
      <c r="T119" s="26"/>
      <c r="U119" s="26"/>
      <c r="V119" s="26"/>
      <c r="W119" s="26"/>
    </row>
    <row r="120" spans="1:23">
      <c r="A120" s="26"/>
      <c r="B120" s="26"/>
      <c r="C120" s="26"/>
      <c r="D120" s="26"/>
      <c r="E120" s="26"/>
      <c r="F120" s="26"/>
      <c r="G120" s="26"/>
      <c r="H120" s="26"/>
      <c r="I120" s="26"/>
      <c r="J120" s="26"/>
      <c r="K120" s="26"/>
      <c r="L120" s="26"/>
      <c r="M120" s="26"/>
      <c r="N120" s="26"/>
      <c r="O120" s="26"/>
      <c r="P120" s="26"/>
      <c r="Q120" s="26"/>
      <c r="R120" s="26"/>
      <c r="S120" s="26"/>
      <c r="T120" s="26"/>
      <c r="U120" s="26"/>
      <c r="V120" s="26"/>
      <c r="W120" s="26"/>
    </row>
    <row r="121" spans="1:23">
      <c r="A121" s="26"/>
      <c r="B121" s="26"/>
      <c r="C121" s="26"/>
      <c r="D121" s="26"/>
      <c r="E121" s="26"/>
      <c r="F121" s="26"/>
      <c r="G121" s="26"/>
      <c r="H121" s="26"/>
      <c r="I121" s="26"/>
      <c r="J121" s="26"/>
      <c r="K121" s="26"/>
      <c r="L121" s="26"/>
      <c r="M121" s="26"/>
      <c r="N121" s="26"/>
      <c r="O121" s="26"/>
      <c r="P121" s="26"/>
      <c r="Q121" s="26"/>
      <c r="R121" s="26"/>
      <c r="S121" s="26"/>
      <c r="T121" s="26"/>
      <c r="U121" s="26"/>
      <c r="V121" s="26"/>
      <c r="W121" s="26"/>
    </row>
    <row r="122" spans="1:23">
      <c r="A122" s="26"/>
      <c r="B122" s="26"/>
      <c r="C122" s="26"/>
      <c r="D122" s="26"/>
      <c r="E122" s="26"/>
      <c r="F122" s="26"/>
      <c r="G122" s="26"/>
      <c r="H122" s="26"/>
      <c r="I122" s="26"/>
      <c r="J122" s="26"/>
      <c r="K122" s="26"/>
      <c r="L122" s="26"/>
      <c r="M122" s="26"/>
      <c r="N122" s="26"/>
      <c r="O122" s="26"/>
      <c r="P122" s="26"/>
      <c r="Q122" s="26"/>
      <c r="R122" s="26"/>
      <c r="S122" s="26"/>
      <c r="T122" s="26"/>
      <c r="U122" s="26"/>
      <c r="V122" s="26"/>
      <c r="W122" s="26"/>
    </row>
    <row r="123" spans="1:23">
      <c r="A123" s="26"/>
      <c r="B123" s="26"/>
      <c r="C123" s="26"/>
      <c r="D123" s="26"/>
      <c r="E123" s="26"/>
      <c r="F123" s="26"/>
      <c r="G123" s="26"/>
      <c r="H123" s="26"/>
      <c r="I123" s="26"/>
      <c r="J123" s="26"/>
      <c r="K123" s="26"/>
      <c r="L123" s="26"/>
      <c r="M123" s="26"/>
      <c r="N123" s="26"/>
      <c r="O123" s="26"/>
      <c r="P123" s="26"/>
      <c r="Q123" s="26"/>
      <c r="R123" s="26"/>
      <c r="S123" s="26"/>
      <c r="T123" s="26"/>
      <c r="U123" s="26"/>
      <c r="V123" s="26"/>
      <c r="W123" s="26"/>
    </row>
    <row r="124" spans="1:23">
      <c r="A124" s="26"/>
      <c r="B124" s="26"/>
      <c r="C124" s="26"/>
      <c r="D124" s="26"/>
      <c r="E124" s="26"/>
      <c r="F124" s="26"/>
      <c r="G124" s="26"/>
      <c r="H124" s="26"/>
      <c r="I124" s="26"/>
      <c r="J124" s="26"/>
      <c r="K124" s="26"/>
      <c r="L124" s="26"/>
      <c r="M124" s="26"/>
      <c r="N124" s="26"/>
      <c r="O124" s="26"/>
      <c r="P124" s="26"/>
      <c r="Q124" s="26"/>
      <c r="R124" s="26"/>
      <c r="S124" s="26"/>
      <c r="T124" s="26"/>
      <c r="U124" s="26"/>
      <c r="V124" s="26"/>
      <c r="W124" s="26"/>
    </row>
    <row r="125" spans="1:23">
      <c r="A125" s="26"/>
      <c r="B125" s="26"/>
      <c r="C125" s="26"/>
      <c r="D125" s="26"/>
      <c r="E125" s="26"/>
      <c r="F125" s="26"/>
      <c r="G125" s="26"/>
      <c r="H125" s="26"/>
      <c r="I125" s="26"/>
      <c r="J125" s="26"/>
      <c r="K125" s="26"/>
      <c r="L125" s="26"/>
      <c r="M125" s="26"/>
      <c r="N125" s="26"/>
      <c r="O125" s="26"/>
      <c r="P125" s="26"/>
      <c r="Q125" s="26"/>
      <c r="R125" s="26"/>
      <c r="S125" s="26"/>
      <c r="T125" s="26"/>
      <c r="U125" s="26"/>
      <c r="V125" s="26"/>
      <c r="W125" s="26"/>
    </row>
    <row r="126" spans="1:23">
      <c r="A126" s="26"/>
      <c r="B126" s="26"/>
      <c r="C126" s="26"/>
      <c r="D126" s="26"/>
      <c r="E126" s="26"/>
      <c r="F126" s="26"/>
      <c r="G126" s="26"/>
      <c r="H126" s="26"/>
      <c r="I126" s="26"/>
      <c r="J126" s="26"/>
      <c r="K126" s="26"/>
      <c r="L126" s="26"/>
      <c r="M126" s="26"/>
      <c r="N126" s="26"/>
      <c r="O126" s="26"/>
      <c r="P126" s="26"/>
      <c r="Q126" s="26"/>
      <c r="R126" s="26"/>
      <c r="S126" s="26"/>
      <c r="T126" s="26"/>
      <c r="U126" s="26"/>
      <c r="V126" s="26"/>
      <c r="W126" s="26"/>
    </row>
    <row r="127" spans="1:23">
      <c r="A127" s="26"/>
      <c r="B127" s="26"/>
      <c r="C127" s="26"/>
      <c r="D127" s="26"/>
      <c r="E127" s="26"/>
      <c r="F127" s="26"/>
      <c r="G127" s="26"/>
      <c r="H127" s="26"/>
      <c r="I127" s="26"/>
      <c r="J127" s="26"/>
      <c r="K127" s="26"/>
      <c r="L127" s="26"/>
      <c r="M127" s="26"/>
      <c r="N127" s="26"/>
      <c r="O127" s="26"/>
      <c r="P127" s="26"/>
      <c r="Q127" s="26"/>
      <c r="R127" s="26"/>
      <c r="S127" s="26"/>
      <c r="T127" s="26"/>
      <c r="U127" s="26"/>
      <c r="V127" s="26"/>
      <c r="W127" s="26"/>
    </row>
    <row r="128" spans="1:23">
      <c r="A128" s="26"/>
      <c r="B128" s="26"/>
      <c r="C128" s="26"/>
      <c r="D128" s="26"/>
      <c r="E128" s="26"/>
      <c r="F128" s="26"/>
      <c r="G128" s="26"/>
      <c r="H128" s="26"/>
      <c r="I128" s="26"/>
      <c r="J128" s="26"/>
      <c r="K128" s="26"/>
      <c r="L128" s="26"/>
      <c r="M128" s="26"/>
      <c r="N128" s="26"/>
      <c r="O128" s="26"/>
      <c r="P128" s="26"/>
      <c r="Q128" s="26"/>
      <c r="R128" s="26"/>
      <c r="S128" s="26"/>
      <c r="T128" s="26"/>
      <c r="U128" s="26"/>
      <c r="V128" s="26"/>
      <c r="W128" s="26"/>
    </row>
    <row r="129" spans="1:23">
      <c r="A129" s="26"/>
      <c r="B129" s="26"/>
      <c r="C129" s="26"/>
      <c r="D129" s="26"/>
      <c r="E129" s="26"/>
      <c r="F129" s="26"/>
      <c r="G129" s="26"/>
      <c r="H129" s="26"/>
      <c r="I129" s="26"/>
      <c r="J129" s="26"/>
      <c r="K129" s="26"/>
      <c r="L129" s="26"/>
      <c r="M129" s="26"/>
      <c r="N129" s="26"/>
      <c r="O129" s="26"/>
      <c r="P129" s="26"/>
      <c r="Q129" s="26"/>
      <c r="R129" s="26"/>
      <c r="S129" s="26"/>
      <c r="T129" s="26"/>
      <c r="U129" s="26"/>
      <c r="V129" s="26"/>
      <c r="W129" s="26"/>
    </row>
    <row r="130" spans="1:23">
      <c r="A130" s="26"/>
      <c r="B130" s="26"/>
      <c r="C130" s="26"/>
      <c r="D130" s="26"/>
      <c r="E130" s="26"/>
      <c r="F130" s="26"/>
      <c r="G130" s="26"/>
      <c r="H130" s="26"/>
      <c r="I130" s="26"/>
      <c r="J130" s="26"/>
      <c r="K130" s="26"/>
      <c r="L130" s="26"/>
      <c r="M130" s="26"/>
      <c r="N130" s="26"/>
      <c r="O130" s="26"/>
      <c r="P130" s="26"/>
      <c r="Q130" s="26"/>
      <c r="R130" s="26"/>
      <c r="S130" s="26"/>
      <c r="T130" s="26"/>
      <c r="U130" s="26"/>
      <c r="V130" s="26"/>
      <c r="W130" s="26"/>
    </row>
    <row r="131" spans="1:23">
      <c r="A131" s="26"/>
      <c r="B131" s="26"/>
      <c r="C131" s="26"/>
      <c r="D131" s="26"/>
      <c r="E131" s="26"/>
      <c r="F131" s="26"/>
      <c r="G131" s="26"/>
      <c r="H131" s="26"/>
      <c r="I131" s="26"/>
      <c r="J131" s="26"/>
      <c r="K131" s="26"/>
      <c r="L131" s="26"/>
      <c r="M131" s="26"/>
      <c r="N131" s="26"/>
      <c r="O131" s="26"/>
      <c r="P131" s="26"/>
      <c r="Q131" s="26"/>
      <c r="R131" s="26"/>
      <c r="S131" s="26"/>
      <c r="T131" s="26"/>
      <c r="U131" s="26"/>
      <c r="V131" s="26"/>
      <c r="W131" s="26"/>
    </row>
    <row r="132" spans="1:23">
      <c r="A132" s="26"/>
      <c r="B132" s="26"/>
      <c r="C132" s="26"/>
      <c r="D132" s="26"/>
      <c r="E132" s="26"/>
      <c r="F132" s="26"/>
      <c r="G132" s="26"/>
      <c r="H132" s="26"/>
      <c r="I132" s="26"/>
      <c r="J132" s="26"/>
      <c r="K132" s="26"/>
      <c r="L132" s="26"/>
      <c r="M132" s="26"/>
      <c r="N132" s="26"/>
      <c r="O132" s="26"/>
      <c r="P132" s="26"/>
      <c r="Q132" s="26"/>
      <c r="R132" s="26"/>
      <c r="S132" s="26"/>
      <c r="T132" s="26"/>
      <c r="U132" s="26"/>
      <c r="V132" s="26"/>
      <c r="W132" s="26"/>
    </row>
    <row r="133" spans="1:23">
      <c r="A133" s="26"/>
      <c r="B133" s="26"/>
      <c r="C133" s="26"/>
      <c r="D133" s="26"/>
      <c r="E133" s="26"/>
      <c r="F133" s="26"/>
      <c r="G133" s="26"/>
      <c r="H133" s="26"/>
      <c r="I133" s="26"/>
      <c r="J133" s="26"/>
      <c r="K133" s="26"/>
      <c r="L133" s="26"/>
      <c r="M133" s="26"/>
      <c r="N133" s="26"/>
      <c r="O133" s="26"/>
      <c r="P133" s="26"/>
      <c r="Q133" s="26"/>
      <c r="R133" s="26"/>
      <c r="S133" s="26"/>
      <c r="T133" s="26"/>
      <c r="U133" s="26"/>
      <c r="V133" s="26"/>
      <c r="W133" s="26"/>
    </row>
    <row r="134" spans="1:23">
      <c r="A134" s="26"/>
      <c r="B134" s="26"/>
      <c r="C134" s="26"/>
      <c r="D134" s="26"/>
      <c r="E134" s="26"/>
      <c r="F134" s="26"/>
      <c r="G134" s="26"/>
      <c r="H134" s="26"/>
      <c r="I134" s="26"/>
      <c r="J134" s="26"/>
      <c r="K134" s="26"/>
      <c r="L134" s="26"/>
      <c r="M134" s="26"/>
      <c r="N134" s="26"/>
      <c r="O134" s="26"/>
      <c r="P134" s="26"/>
      <c r="Q134" s="26"/>
      <c r="R134" s="26"/>
      <c r="S134" s="26"/>
      <c r="T134" s="26"/>
      <c r="U134" s="26"/>
      <c r="V134" s="26"/>
      <c r="W134" s="26"/>
    </row>
    <row r="135" spans="1:23">
      <c r="A135" s="26"/>
      <c r="B135" s="26"/>
      <c r="C135" s="26"/>
      <c r="D135" s="26"/>
      <c r="E135" s="26"/>
      <c r="F135" s="26"/>
      <c r="G135" s="26"/>
      <c r="H135" s="26"/>
      <c r="I135" s="26"/>
      <c r="J135" s="26"/>
      <c r="K135" s="26"/>
      <c r="L135" s="26"/>
      <c r="M135" s="26"/>
      <c r="N135" s="26"/>
      <c r="O135" s="26"/>
      <c r="P135" s="26"/>
      <c r="Q135" s="26"/>
      <c r="R135" s="26"/>
      <c r="S135" s="26"/>
      <c r="T135" s="26"/>
      <c r="U135" s="26"/>
      <c r="V135" s="26"/>
      <c r="W135" s="26"/>
    </row>
    <row r="136" spans="1:23">
      <c r="A136" s="26"/>
      <c r="B136" s="26"/>
      <c r="C136" s="26"/>
      <c r="D136" s="26"/>
      <c r="E136" s="26"/>
      <c r="F136" s="26"/>
      <c r="G136" s="26"/>
      <c r="H136" s="26"/>
      <c r="I136" s="26"/>
      <c r="J136" s="26"/>
      <c r="K136" s="26"/>
      <c r="L136" s="26"/>
      <c r="M136" s="26"/>
      <c r="N136" s="26"/>
      <c r="O136" s="26"/>
      <c r="P136" s="26"/>
      <c r="Q136" s="26"/>
      <c r="R136" s="26"/>
      <c r="S136" s="26"/>
      <c r="T136" s="26"/>
      <c r="U136" s="26"/>
      <c r="V136" s="26"/>
      <c r="W136" s="26"/>
    </row>
    <row r="137" spans="1:23">
      <c r="A137" s="26"/>
      <c r="B137" s="26"/>
      <c r="C137" s="26"/>
      <c r="D137" s="26"/>
      <c r="E137" s="26"/>
      <c r="F137" s="26"/>
      <c r="G137" s="26"/>
      <c r="H137" s="26"/>
      <c r="I137" s="26"/>
      <c r="J137" s="26"/>
      <c r="K137" s="26"/>
      <c r="L137" s="26"/>
      <c r="M137" s="26"/>
      <c r="N137" s="26"/>
      <c r="O137" s="26"/>
      <c r="P137" s="26"/>
      <c r="Q137" s="26"/>
      <c r="R137" s="26"/>
      <c r="S137" s="26"/>
      <c r="T137" s="26"/>
      <c r="U137" s="26"/>
      <c r="V137" s="26"/>
      <c r="W137" s="26"/>
    </row>
    <row r="138" spans="1:23">
      <c r="A138" s="26"/>
      <c r="B138" s="26"/>
      <c r="C138" s="26"/>
      <c r="D138" s="26"/>
      <c r="E138" s="26"/>
      <c r="F138" s="26"/>
      <c r="G138" s="26"/>
      <c r="H138" s="26"/>
      <c r="I138" s="26"/>
      <c r="J138" s="26"/>
      <c r="K138" s="26"/>
      <c r="L138" s="26"/>
      <c r="M138" s="26"/>
      <c r="N138" s="26"/>
      <c r="O138" s="26"/>
      <c r="P138" s="26"/>
      <c r="Q138" s="26"/>
      <c r="R138" s="26"/>
      <c r="S138" s="26"/>
      <c r="T138" s="26"/>
      <c r="U138" s="26"/>
      <c r="V138" s="26"/>
      <c r="W138" s="26"/>
    </row>
    <row r="139" spans="1:23">
      <c r="A139" s="26"/>
      <c r="B139" s="26"/>
      <c r="C139" s="26"/>
      <c r="D139" s="26"/>
      <c r="E139" s="26"/>
      <c r="F139" s="26"/>
      <c r="G139" s="26"/>
      <c r="H139" s="26"/>
      <c r="I139" s="26"/>
      <c r="J139" s="26"/>
      <c r="K139" s="26"/>
      <c r="L139" s="26"/>
      <c r="M139" s="26"/>
      <c r="N139" s="26"/>
      <c r="O139" s="26"/>
      <c r="P139" s="26"/>
      <c r="Q139" s="26"/>
      <c r="R139" s="26"/>
      <c r="S139" s="26"/>
      <c r="T139" s="26"/>
      <c r="U139" s="26"/>
      <c r="V139" s="26"/>
      <c r="W139" s="26"/>
    </row>
    <row r="140" spans="1:23">
      <c r="A140" s="26"/>
      <c r="B140" s="26"/>
      <c r="C140" s="26"/>
      <c r="D140" s="26"/>
      <c r="E140" s="26"/>
      <c r="F140" s="26"/>
      <c r="G140" s="26"/>
      <c r="H140" s="26"/>
      <c r="I140" s="26"/>
      <c r="J140" s="26"/>
      <c r="K140" s="26"/>
      <c r="L140" s="26"/>
      <c r="M140" s="26"/>
      <c r="N140" s="26"/>
      <c r="O140" s="26"/>
      <c r="P140" s="26"/>
      <c r="Q140" s="26"/>
      <c r="R140" s="26"/>
      <c r="S140" s="26"/>
      <c r="T140" s="26"/>
      <c r="U140" s="26"/>
      <c r="V140" s="26"/>
      <c r="W140" s="26"/>
    </row>
    <row r="141" spans="1:23">
      <c r="A141" s="26"/>
      <c r="B141" s="26"/>
      <c r="C141" s="26"/>
      <c r="D141" s="26"/>
      <c r="E141" s="26"/>
      <c r="F141" s="26"/>
      <c r="G141" s="26"/>
      <c r="H141" s="26"/>
      <c r="I141" s="26"/>
      <c r="J141" s="26"/>
      <c r="K141" s="26"/>
      <c r="L141" s="26"/>
      <c r="M141" s="26"/>
      <c r="N141" s="26"/>
      <c r="O141" s="26"/>
      <c r="P141" s="26"/>
      <c r="Q141" s="26"/>
      <c r="R141" s="26"/>
      <c r="S141" s="26"/>
      <c r="T141" s="26"/>
      <c r="U141" s="26"/>
      <c r="V141" s="26"/>
      <c r="W141" s="26"/>
    </row>
    <row r="142" spans="1:23">
      <c r="A142" s="26"/>
      <c r="B142" s="26"/>
      <c r="C142" s="26"/>
      <c r="D142" s="26"/>
      <c r="E142" s="26"/>
      <c r="F142" s="26"/>
      <c r="G142" s="26"/>
      <c r="H142" s="26"/>
      <c r="I142" s="26"/>
      <c r="J142" s="26"/>
      <c r="K142" s="26"/>
      <c r="L142" s="26"/>
      <c r="M142" s="26"/>
      <c r="N142" s="26"/>
      <c r="O142" s="26"/>
      <c r="P142" s="26"/>
      <c r="Q142" s="26"/>
      <c r="R142" s="26"/>
      <c r="S142" s="26"/>
      <c r="T142" s="26"/>
      <c r="U142" s="26"/>
      <c r="V142" s="26"/>
      <c r="W142" s="26"/>
    </row>
    <row r="143" spans="1:23">
      <c r="A143" s="26"/>
      <c r="B143" s="26"/>
      <c r="C143" s="26"/>
      <c r="D143" s="26"/>
      <c r="E143" s="26"/>
      <c r="F143" s="26"/>
      <c r="G143" s="26"/>
      <c r="H143" s="26"/>
      <c r="I143" s="26"/>
      <c r="J143" s="26"/>
      <c r="K143" s="26"/>
      <c r="L143" s="26"/>
      <c r="M143" s="26"/>
      <c r="N143" s="26"/>
      <c r="O143" s="26"/>
      <c r="P143" s="26"/>
      <c r="Q143" s="26"/>
      <c r="R143" s="26"/>
      <c r="S143" s="26"/>
      <c r="T143" s="26"/>
      <c r="U143" s="26"/>
      <c r="V143" s="26"/>
      <c r="W143" s="26"/>
    </row>
    <row r="144" spans="1:23">
      <c r="A144" s="26"/>
      <c r="B144" s="26"/>
      <c r="C144" s="26"/>
      <c r="D144" s="26"/>
      <c r="E144" s="26"/>
      <c r="F144" s="26"/>
      <c r="G144" s="26"/>
      <c r="H144" s="26"/>
      <c r="I144" s="26"/>
      <c r="J144" s="26"/>
      <c r="K144" s="26"/>
      <c r="L144" s="26"/>
      <c r="M144" s="26"/>
      <c r="N144" s="26"/>
      <c r="O144" s="26"/>
      <c r="P144" s="26"/>
      <c r="Q144" s="26"/>
      <c r="R144" s="26"/>
      <c r="S144" s="26"/>
      <c r="T144" s="26"/>
      <c r="U144" s="26"/>
      <c r="V144" s="26"/>
      <c r="W144" s="26"/>
    </row>
    <row r="145" spans="1:23">
      <c r="A145" s="26"/>
      <c r="B145" s="26"/>
      <c r="C145" s="26"/>
      <c r="D145" s="26"/>
      <c r="E145" s="26"/>
      <c r="F145" s="26"/>
      <c r="G145" s="26"/>
      <c r="H145" s="26"/>
      <c r="I145" s="26"/>
      <c r="J145" s="26"/>
      <c r="K145" s="26"/>
      <c r="L145" s="26"/>
      <c r="M145" s="26"/>
      <c r="N145" s="26"/>
      <c r="O145" s="26"/>
      <c r="P145" s="26"/>
      <c r="Q145" s="26"/>
      <c r="R145" s="26"/>
      <c r="S145" s="26"/>
      <c r="T145" s="26"/>
      <c r="U145" s="26"/>
      <c r="V145" s="26"/>
      <c r="W145" s="26"/>
    </row>
    <row r="146" spans="1:23">
      <c r="A146" s="26"/>
      <c r="B146" s="26"/>
      <c r="C146" s="26"/>
      <c r="D146" s="26"/>
      <c r="E146" s="26"/>
      <c r="F146" s="26"/>
      <c r="G146" s="26"/>
      <c r="H146" s="26"/>
      <c r="I146" s="26"/>
      <c r="J146" s="26"/>
      <c r="K146" s="26"/>
      <c r="L146" s="26"/>
      <c r="M146" s="26"/>
      <c r="N146" s="26"/>
      <c r="O146" s="26"/>
      <c r="P146" s="26"/>
      <c r="Q146" s="26"/>
      <c r="R146" s="26"/>
      <c r="S146" s="26"/>
      <c r="T146" s="26"/>
      <c r="U146" s="26"/>
      <c r="V146" s="26"/>
      <c r="W146" s="26"/>
    </row>
    <row r="147" spans="1:23">
      <c r="A147" s="26"/>
      <c r="B147" s="26"/>
      <c r="C147" s="26"/>
      <c r="D147" s="26"/>
      <c r="E147" s="26"/>
      <c r="F147" s="26"/>
      <c r="G147" s="26"/>
      <c r="H147" s="26"/>
      <c r="I147" s="26"/>
      <c r="J147" s="26"/>
      <c r="K147" s="26"/>
      <c r="L147" s="26"/>
      <c r="M147" s="26"/>
      <c r="N147" s="26"/>
      <c r="O147" s="26"/>
      <c r="P147" s="26"/>
      <c r="Q147" s="26"/>
      <c r="R147" s="26"/>
      <c r="S147" s="26"/>
      <c r="T147" s="26"/>
      <c r="U147" s="26"/>
      <c r="V147" s="26"/>
      <c r="W147" s="26"/>
    </row>
    <row r="148" spans="1:23">
      <c r="A148" s="26"/>
      <c r="B148" s="26"/>
      <c r="C148" s="26"/>
      <c r="D148" s="26"/>
      <c r="E148" s="26"/>
      <c r="F148" s="26"/>
      <c r="G148" s="26"/>
      <c r="H148" s="26"/>
      <c r="I148" s="26"/>
      <c r="J148" s="26"/>
      <c r="K148" s="26"/>
      <c r="L148" s="26"/>
      <c r="M148" s="26"/>
      <c r="N148" s="26"/>
      <c r="O148" s="26"/>
      <c r="P148" s="26"/>
      <c r="Q148" s="26"/>
      <c r="R148" s="26"/>
      <c r="S148" s="26"/>
      <c r="T148" s="26"/>
      <c r="U148" s="26"/>
      <c r="V148" s="26"/>
      <c r="W148" s="26"/>
    </row>
    <row r="149" spans="1:23">
      <c r="A149" s="26"/>
      <c r="B149" s="26"/>
      <c r="C149" s="26"/>
      <c r="D149" s="26"/>
      <c r="E149" s="26"/>
      <c r="F149" s="26"/>
      <c r="G149" s="26"/>
      <c r="H149" s="26"/>
      <c r="I149" s="26"/>
      <c r="J149" s="26"/>
      <c r="K149" s="26"/>
      <c r="L149" s="26"/>
      <c r="M149" s="26"/>
      <c r="N149" s="26"/>
      <c r="O149" s="26"/>
      <c r="P149" s="26"/>
      <c r="Q149" s="26"/>
      <c r="R149" s="26"/>
      <c r="S149" s="26"/>
      <c r="T149" s="26"/>
      <c r="U149" s="26"/>
      <c r="V149" s="26"/>
      <c r="W149" s="26"/>
    </row>
    <row r="150" spans="1:23">
      <c r="A150" s="26"/>
      <c r="B150" s="26"/>
      <c r="C150" s="26"/>
      <c r="D150" s="26"/>
      <c r="E150" s="26"/>
      <c r="F150" s="26"/>
      <c r="G150" s="26"/>
      <c r="H150" s="26"/>
      <c r="I150" s="26"/>
      <c r="J150" s="26"/>
      <c r="K150" s="26"/>
      <c r="L150" s="26"/>
      <c r="M150" s="26"/>
      <c r="N150" s="26"/>
      <c r="O150" s="26"/>
      <c r="P150" s="26"/>
      <c r="Q150" s="26"/>
      <c r="R150" s="26"/>
      <c r="S150" s="26"/>
      <c r="T150" s="26"/>
      <c r="U150" s="26"/>
      <c r="V150" s="26"/>
      <c r="W150" s="26"/>
    </row>
    <row r="151" spans="1:23">
      <c r="A151" s="26"/>
      <c r="B151" s="26"/>
      <c r="C151" s="26"/>
      <c r="D151" s="26"/>
      <c r="E151" s="26"/>
      <c r="F151" s="26"/>
      <c r="G151" s="26"/>
      <c r="H151" s="26"/>
      <c r="I151" s="26"/>
      <c r="J151" s="26"/>
      <c r="K151" s="26"/>
      <c r="L151" s="26"/>
      <c r="M151" s="26"/>
      <c r="N151" s="26"/>
      <c r="O151" s="26"/>
      <c r="P151" s="26"/>
      <c r="Q151" s="26"/>
      <c r="R151" s="26"/>
      <c r="S151" s="26"/>
      <c r="T151" s="26"/>
      <c r="U151" s="26"/>
      <c r="V151" s="26"/>
      <c r="W151" s="26"/>
    </row>
    <row r="152" spans="1:23">
      <c r="A152" s="26"/>
      <c r="B152" s="26"/>
      <c r="C152" s="26"/>
      <c r="D152" s="26"/>
      <c r="E152" s="26"/>
      <c r="F152" s="26"/>
      <c r="G152" s="26"/>
      <c r="H152" s="26"/>
      <c r="I152" s="26"/>
      <c r="J152" s="26"/>
      <c r="K152" s="26"/>
      <c r="L152" s="26"/>
      <c r="M152" s="26"/>
      <c r="N152" s="26"/>
      <c r="O152" s="26"/>
      <c r="P152" s="26"/>
      <c r="Q152" s="26"/>
      <c r="R152" s="26"/>
      <c r="S152" s="26"/>
      <c r="T152" s="26"/>
      <c r="U152" s="26"/>
      <c r="V152" s="26"/>
      <c r="W152" s="26"/>
    </row>
    <row r="153" spans="1:23">
      <c r="A153" s="26"/>
      <c r="B153" s="26"/>
      <c r="C153" s="26"/>
      <c r="D153" s="26"/>
      <c r="E153" s="26"/>
      <c r="F153" s="26"/>
      <c r="G153" s="26"/>
      <c r="H153" s="26"/>
      <c r="I153" s="26"/>
      <c r="J153" s="26"/>
      <c r="K153" s="26"/>
      <c r="L153" s="26"/>
      <c r="M153" s="26"/>
      <c r="N153" s="26"/>
      <c r="O153" s="26"/>
      <c r="P153" s="26"/>
      <c r="Q153" s="26"/>
      <c r="R153" s="26"/>
      <c r="S153" s="26"/>
      <c r="T153" s="26"/>
      <c r="U153" s="26"/>
      <c r="V153" s="26"/>
      <c r="W153" s="26"/>
    </row>
    <row r="154" spans="1:23">
      <c r="A154" s="26"/>
      <c r="B154" s="26"/>
      <c r="C154" s="26"/>
      <c r="D154" s="26"/>
      <c r="E154" s="26"/>
      <c r="F154" s="26"/>
      <c r="G154" s="26"/>
      <c r="H154" s="26"/>
      <c r="I154" s="26"/>
      <c r="J154" s="26"/>
      <c r="K154" s="26"/>
      <c r="L154" s="26"/>
      <c r="M154" s="26"/>
      <c r="N154" s="26"/>
      <c r="O154" s="26"/>
      <c r="P154" s="26"/>
      <c r="Q154" s="26"/>
      <c r="R154" s="26"/>
      <c r="S154" s="26"/>
      <c r="T154" s="26"/>
      <c r="U154" s="26"/>
      <c r="V154" s="26"/>
      <c r="W154" s="26"/>
    </row>
    <row r="155" spans="1:23">
      <c r="A155" s="26"/>
      <c r="B155" s="26"/>
      <c r="C155" s="26"/>
      <c r="D155" s="26"/>
      <c r="E155" s="26"/>
      <c r="F155" s="26"/>
      <c r="G155" s="26"/>
      <c r="H155" s="26"/>
      <c r="I155" s="26"/>
      <c r="J155" s="26"/>
      <c r="K155" s="26"/>
      <c r="L155" s="26"/>
      <c r="M155" s="26"/>
      <c r="N155" s="26"/>
      <c r="O155" s="26"/>
      <c r="P155" s="26"/>
      <c r="Q155" s="26"/>
      <c r="R155" s="26"/>
      <c r="S155" s="26"/>
      <c r="T155" s="26"/>
      <c r="U155" s="26"/>
      <c r="V155" s="26"/>
      <c r="W155" s="26"/>
    </row>
    <row r="156" spans="1:23">
      <c r="A156" s="26"/>
      <c r="B156" s="26"/>
      <c r="C156" s="26"/>
      <c r="D156" s="26"/>
      <c r="E156" s="26"/>
      <c r="F156" s="26"/>
      <c r="G156" s="26"/>
      <c r="H156" s="26"/>
      <c r="I156" s="26"/>
      <c r="J156" s="26"/>
      <c r="K156" s="26"/>
      <c r="L156" s="26"/>
      <c r="M156" s="26"/>
      <c r="N156" s="26"/>
      <c r="O156" s="26"/>
      <c r="P156" s="26"/>
      <c r="Q156" s="26"/>
      <c r="R156" s="26"/>
      <c r="S156" s="26"/>
      <c r="T156" s="26"/>
      <c r="U156" s="26"/>
      <c r="V156" s="26"/>
      <c r="W156" s="26"/>
    </row>
    <row r="157" spans="1:23">
      <c r="A157" s="26"/>
      <c r="B157" s="26"/>
      <c r="C157" s="26"/>
      <c r="D157" s="26"/>
      <c r="E157" s="26"/>
      <c r="F157" s="26"/>
      <c r="G157" s="26"/>
      <c r="H157" s="26"/>
      <c r="I157" s="26"/>
      <c r="J157" s="26"/>
      <c r="K157" s="26"/>
      <c r="L157" s="26"/>
      <c r="M157" s="26"/>
      <c r="N157" s="26"/>
      <c r="O157" s="26"/>
      <c r="P157" s="26"/>
      <c r="Q157" s="26"/>
      <c r="R157" s="26"/>
      <c r="S157" s="26"/>
      <c r="T157" s="26"/>
      <c r="U157" s="26"/>
      <c r="V157" s="26"/>
      <c r="W157" s="26"/>
    </row>
    <row r="158" spans="1:23">
      <c r="A158" s="26"/>
      <c r="B158" s="26"/>
      <c r="C158" s="26"/>
      <c r="D158" s="26"/>
      <c r="E158" s="26"/>
      <c r="F158" s="26"/>
      <c r="G158" s="26"/>
      <c r="H158" s="26"/>
      <c r="I158" s="26"/>
      <c r="J158" s="26"/>
      <c r="K158" s="26"/>
      <c r="L158" s="26"/>
      <c r="M158" s="26"/>
      <c r="N158" s="26"/>
      <c r="O158" s="26"/>
      <c r="P158" s="26"/>
      <c r="Q158" s="26"/>
      <c r="R158" s="26"/>
      <c r="S158" s="26"/>
      <c r="T158" s="26"/>
      <c r="U158" s="26"/>
      <c r="V158" s="26"/>
      <c r="W158" s="26"/>
    </row>
    <row r="159" spans="1:23">
      <c r="A159" s="26"/>
      <c r="B159" s="26"/>
      <c r="C159" s="26"/>
      <c r="D159" s="26"/>
      <c r="E159" s="26"/>
      <c r="F159" s="26"/>
      <c r="G159" s="26"/>
      <c r="H159" s="26"/>
      <c r="I159" s="26"/>
      <c r="J159" s="26"/>
      <c r="K159" s="26"/>
      <c r="L159" s="26"/>
      <c r="M159" s="26"/>
      <c r="N159" s="26"/>
      <c r="O159" s="26"/>
      <c r="P159" s="26"/>
      <c r="Q159" s="26"/>
      <c r="R159" s="26"/>
      <c r="S159" s="26"/>
      <c r="T159" s="26"/>
      <c r="U159" s="26"/>
      <c r="V159" s="26"/>
      <c r="W159" s="26"/>
    </row>
    <row r="160" spans="1:23">
      <c r="A160" s="26"/>
      <c r="B160" s="26"/>
      <c r="C160" s="26"/>
      <c r="D160" s="26"/>
      <c r="E160" s="26"/>
      <c r="F160" s="26"/>
      <c r="G160" s="26"/>
      <c r="H160" s="26"/>
      <c r="I160" s="26"/>
      <c r="J160" s="26"/>
      <c r="K160" s="26"/>
      <c r="L160" s="26"/>
      <c r="M160" s="26"/>
      <c r="N160" s="26"/>
      <c r="O160" s="26"/>
      <c r="P160" s="26"/>
      <c r="Q160" s="26"/>
      <c r="R160" s="26"/>
      <c r="S160" s="26"/>
      <c r="T160" s="26"/>
      <c r="U160" s="26"/>
      <c r="V160" s="26"/>
      <c r="W160" s="26"/>
    </row>
    <row r="161" spans="1:23">
      <c r="A161" s="26"/>
      <c r="B161" s="26"/>
      <c r="C161" s="26"/>
      <c r="D161" s="26"/>
      <c r="E161" s="26"/>
      <c r="F161" s="26"/>
      <c r="G161" s="26"/>
      <c r="H161" s="26"/>
      <c r="I161" s="26"/>
      <c r="J161" s="26"/>
      <c r="K161" s="26"/>
      <c r="L161" s="26"/>
      <c r="M161" s="26"/>
      <c r="N161" s="26"/>
      <c r="O161" s="26"/>
      <c r="P161" s="26"/>
      <c r="Q161" s="26"/>
      <c r="R161" s="26"/>
      <c r="S161" s="26"/>
      <c r="T161" s="26"/>
      <c r="U161" s="26"/>
      <c r="V161" s="26"/>
      <c r="W161" s="26"/>
    </row>
    <row r="162" spans="1:23">
      <c r="A162" s="26"/>
      <c r="B162" s="26"/>
      <c r="C162" s="26"/>
      <c r="D162" s="26"/>
      <c r="E162" s="26"/>
      <c r="F162" s="26"/>
      <c r="G162" s="26"/>
      <c r="H162" s="26"/>
      <c r="I162" s="26"/>
      <c r="J162" s="26"/>
      <c r="K162" s="26"/>
      <c r="L162" s="26"/>
      <c r="M162" s="26"/>
      <c r="N162" s="26"/>
      <c r="O162" s="26"/>
      <c r="P162" s="26"/>
      <c r="Q162" s="26"/>
      <c r="R162" s="26"/>
      <c r="S162" s="26"/>
      <c r="T162" s="26"/>
      <c r="U162" s="26"/>
      <c r="V162" s="26"/>
      <c r="W162" s="26"/>
    </row>
    <row r="163" spans="1:23">
      <c r="A163" s="26"/>
      <c r="B163" s="26"/>
      <c r="C163" s="26"/>
      <c r="D163" s="26"/>
      <c r="E163" s="26"/>
      <c r="F163" s="26"/>
      <c r="G163" s="26"/>
      <c r="H163" s="26"/>
      <c r="I163" s="26"/>
      <c r="J163" s="26"/>
      <c r="K163" s="26"/>
      <c r="L163" s="26"/>
      <c r="M163" s="26"/>
      <c r="N163" s="26"/>
      <c r="O163" s="26"/>
      <c r="P163" s="26"/>
      <c r="Q163" s="26"/>
      <c r="R163" s="26"/>
      <c r="S163" s="26"/>
      <c r="T163" s="26"/>
      <c r="U163" s="26"/>
      <c r="V163" s="26"/>
      <c r="W163" s="26"/>
    </row>
    <row r="164" spans="1:23">
      <c r="A164" s="26"/>
      <c r="B164" s="26"/>
      <c r="C164" s="26"/>
      <c r="D164" s="26"/>
      <c r="E164" s="26"/>
      <c r="F164" s="26"/>
      <c r="G164" s="26"/>
      <c r="H164" s="26"/>
      <c r="I164" s="26"/>
      <c r="J164" s="26"/>
      <c r="K164" s="26"/>
      <c r="L164" s="26"/>
      <c r="M164" s="26"/>
      <c r="N164" s="26"/>
      <c r="O164" s="26"/>
      <c r="P164" s="26"/>
      <c r="Q164" s="26"/>
      <c r="R164" s="26"/>
      <c r="S164" s="26"/>
      <c r="T164" s="26"/>
      <c r="U164" s="26"/>
      <c r="V164" s="26"/>
      <c r="W164" s="26"/>
    </row>
    <row r="165" spans="1:23">
      <c r="A165" s="26"/>
      <c r="B165" s="26"/>
      <c r="C165" s="26"/>
      <c r="D165" s="26"/>
      <c r="E165" s="26"/>
      <c r="F165" s="26"/>
      <c r="G165" s="26"/>
      <c r="H165" s="26"/>
      <c r="I165" s="26"/>
      <c r="J165" s="26"/>
      <c r="K165" s="26"/>
      <c r="L165" s="26"/>
      <c r="M165" s="26"/>
      <c r="N165" s="26"/>
      <c r="O165" s="26"/>
      <c r="P165" s="26"/>
      <c r="Q165" s="26"/>
      <c r="R165" s="26"/>
      <c r="S165" s="26"/>
      <c r="T165" s="26"/>
      <c r="U165" s="26"/>
      <c r="V165" s="26"/>
      <c r="W165" s="26"/>
    </row>
    <row r="166" spans="1:23">
      <c r="A166" s="26"/>
      <c r="B166" s="26"/>
      <c r="C166" s="26"/>
      <c r="D166" s="26"/>
      <c r="E166" s="26"/>
      <c r="F166" s="26"/>
      <c r="G166" s="26"/>
      <c r="H166" s="26"/>
      <c r="I166" s="26"/>
      <c r="J166" s="26"/>
      <c r="K166" s="26"/>
      <c r="L166" s="26"/>
      <c r="M166" s="26"/>
      <c r="N166" s="26"/>
      <c r="O166" s="26"/>
      <c r="P166" s="26"/>
      <c r="Q166" s="26"/>
      <c r="R166" s="26"/>
      <c r="S166" s="26"/>
      <c r="T166" s="26"/>
      <c r="U166" s="26"/>
      <c r="V166" s="26"/>
      <c r="W166" s="26"/>
    </row>
    <row r="167" spans="1:23">
      <c r="A167" s="26"/>
      <c r="B167" s="26"/>
      <c r="C167" s="26"/>
      <c r="D167" s="26"/>
      <c r="E167" s="26"/>
      <c r="F167" s="26"/>
      <c r="G167" s="26"/>
      <c r="H167" s="26"/>
      <c r="I167" s="26"/>
      <c r="J167" s="26"/>
      <c r="K167" s="26"/>
      <c r="L167" s="26"/>
      <c r="M167" s="26"/>
      <c r="N167" s="26"/>
      <c r="O167" s="26"/>
      <c r="P167" s="26"/>
      <c r="Q167" s="26"/>
      <c r="R167" s="26"/>
      <c r="S167" s="26"/>
      <c r="T167" s="26"/>
      <c r="U167" s="26"/>
      <c r="V167" s="26"/>
      <c r="W167" s="26"/>
    </row>
    <row r="168" spans="1:23">
      <c r="A168" s="26"/>
      <c r="B168" s="26"/>
      <c r="C168" s="26"/>
      <c r="D168" s="26"/>
      <c r="E168" s="26"/>
      <c r="F168" s="26"/>
      <c r="G168" s="26"/>
      <c r="H168" s="26"/>
      <c r="I168" s="26"/>
      <c r="J168" s="26"/>
      <c r="K168" s="26"/>
      <c r="L168" s="26"/>
      <c r="M168" s="26"/>
      <c r="N168" s="26"/>
      <c r="O168" s="26"/>
      <c r="P168" s="26"/>
      <c r="Q168" s="26"/>
      <c r="R168" s="26"/>
      <c r="S168" s="26"/>
      <c r="T168" s="26"/>
      <c r="U168" s="26"/>
      <c r="V168" s="26"/>
      <c r="W168" s="26"/>
    </row>
    <row r="169" spans="1:23">
      <c r="A169" s="26"/>
      <c r="B169" s="26"/>
      <c r="C169" s="26"/>
      <c r="D169" s="26"/>
      <c r="E169" s="26"/>
      <c r="F169" s="26"/>
      <c r="G169" s="26"/>
      <c r="H169" s="26"/>
      <c r="I169" s="26"/>
      <c r="J169" s="26"/>
      <c r="K169" s="26"/>
      <c r="L169" s="26"/>
      <c r="M169" s="26"/>
      <c r="N169" s="26"/>
      <c r="O169" s="26"/>
      <c r="P169" s="26"/>
      <c r="Q169" s="26"/>
      <c r="R169" s="26"/>
      <c r="S169" s="26"/>
      <c r="T169" s="26"/>
      <c r="U169" s="26"/>
      <c r="V169" s="26"/>
      <c r="W169" s="26"/>
    </row>
    <row r="170" spans="1:23">
      <c r="A170" s="26"/>
      <c r="B170" s="26"/>
      <c r="C170" s="26"/>
      <c r="D170" s="26"/>
      <c r="E170" s="26"/>
      <c r="F170" s="26"/>
      <c r="G170" s="26"/>
      <c r="H170" s="26"/>
      <c r="I170" s="26"/>
      <c r="J170" s="26"/>
      <c r="K170" s="26"/>
      <c r="L170" s="26"/>
      <c r="M170" s="26"/>
      <c r="N170" s="26"/>
      <c r="O170" s="26"/>
      <c r="P170" s="26"/>
      <c r="Q170" s="26"/>
      <c r="R170" s="26"/>
      <c r="S170" s="26"/>
      <c r="T170" s="26"/>
      <c r="U170" s="26"/>
      <c r="V170" s="26"/>
      <c r="W170" s="26"/>
    </row>
    <row r="171" spans="1:23">
      <c r="A171" s="26"/>
      <c r="B171" s="26"/>
      <c r="C171" s="26"/>
      <c r="D171" s="26"/>
      <c r="E171" s="26"/>
      <c r="F171" s="26"/>
      <c r="G171" s="26"/>
      <c r="H171" s="26"/>
      <c r="I171" s="26"/>
      <c r="J171" s="26"/>
      <c r="K171" s="26"/>
      <c r="L171" s="26"/>
      <c r="M171" s="26"/>
      <c r="N171" s="26"/>
      <c r="O171" s="26"/>
      <c r="P171" s="26"/>
      <c r="Q171" s="26"/>
      <c r="R171" s="26"/>
      <c r="S171" s="26"/>
      <c r="T171" s="26"/>
      <c r="U171" s="26"/>
      <c r="V171" s="26"/>
      <c r="W171" s="26"/>
    </row>
    <row r="172" spans="1:23">
      <c r="A172" s="26"/>
      <c r="B172" s="26"/>
      <c r="C172" s="26"/>
      <c r="D172" s="26"/>
      <c r="E172" s="26"/>
      <c r="F172" s="26"/>
      <c r="G172" s="26"/>
      <c r="H172" s="26"/>
      <c r="I172" s="26"/>
      <c r="J172" s="26"/>
      <c r="K172" s="26"/>
      <c r="L172" s="26"/>
      <c r="M172" s="26"/>
      <c r="N172" s="26"/>
      <c r="O172" s="26"/>
      <c r="P172" s="26"/>
      <c r="Q172" s="26"/>
      <c r="R172" s="26"/>
      <c r="S172" s="26"/>
      <c r="T172" s="26"/>
      <c r="U172" s="26"/>
      <c r="V172" s="26"/>
      <c r="W172" s="26"/>
    </row>
    <row r="173" spans="1:23">
      <c r="A173" s="26"/>
      <c r="B173" s="26"/>
      <c r="C173" s="26"/>
      <c r="D173" s="26"/>
      <c r="E173" s="26"/>
      <c r="F173" s="26"/>
      <c r="G173" s="26"/>
      <c r="H173" s="26"/>
      <c r="I173" s="26"/>
      <c r="J173" s="26"/>
      <c r="K173" s="26"/>
      <c r="L173" s="26"/>
      <c r="M173" s="26"/>
      <c r="N173" s="26"/>
      <c r="O173" s="26"/>
      <c r="P173" s="26"/>
      <c r="Q173" s="26"/>
      <c r="R173" s="26"/>
      <c r="S173" s="26"/>
      <c r="T173" s="26"/>
      <c r="U173" s="26"/>
      <c r="V173" s="26"/>
      <c r="W173" s="26"/>
    </row>
    <row r="174" spans="1:23">
      <c r="A174" s="26"/>
      <c r="B174" s="26"/>
      <c r="C174" s="26"/>
      <c r="D174" s="26"/>
      <c r="E174" s="26"/>
      <c r="F174" s="26"/>
      <c r="G174" s="26"/>
      <c r="H174" s="26"/>
      <c r="I174" s="26"/>
      <c r="J174" s="26"/>
      <c r="K174" s="26"/>
      <c r="L174" s="26"/>
      <c r="M174" s="26"/>
      <c r="N174" s="26"/>
      <c r="O174" s="26"/>
      <c r="P174" s="26"/>
      <c r="Q174" s="26"/>
      <c r="R174" s="26"/>
      <c r="S174" s="26"/>
      <c r="T174" s="26"/>
      <c r="U174" s="26"/>
      <c r="V174" s="26"/>
      <c r="W174" s="26"/>
    </row>
    <row r="175" spans="1:23">
      <c r="A175" s="26"/>
      <c r="B175" s="26"/>
      <c r="C175" s="26"/>
      <c r="D175" s="26"/>
      <c r="E175" s="26"/>
      <c r="F175" s="26"/>
      <c r="G175" s="26"/>
      <c r="H175" s="26"/>
      <c r="I175" s="26"/>
      <c r="J175" s="26"/>
      <c r="K175" s="26"/>
      <c r="L175" s="26"/>
      <c r="M175" s="26"/>
      <c r="N175" s="26"/>
      <c r="O175" s="26"/>
      <c r="P175" s="26"/>
      <c r="Q175" s="26"/>
      <c r="R175" s="26"/>
      <c r="S175" s="26"/>
      <c r="T175" s="26"/>
      <c r="U175" s="26"/>
      <c r="V175" s="26"/>
      <c r="W175" s="26"/>
    </row>
    <row r="176" spans="1:23">
      <c r="A176" s="26"/>
      <c r="B176" s="26"/>
      <c r="C176" s="26"/>
      <c r="D176" s="26"/>
      <c r="E176" s="26"/>
      <c r="F176" s="26"/>
      <c r="G176" s="26"/>
      <c r="H176" s="26"/>
      <c r="I176" s="26"/>
      <c r="J176" s="26"/>
      <c r="K176" s="26"/>
      <c r="L176" s="26"/>
      <c r="M176" s="26"/>
      <c r="N176" s="26"/>
      <c r="O176" s="26"/>
      <c r="P176" s="26"/>
      <c r="Q176" s="26"/>
      <c r="R176" s="26"/>
      <c r="S176" s="26"/>
      <c r="T176" s="26"/>
      <c r="U176" s="26"/>
      <c r="V176" s="26"/>
      <c r="W176" s="26"/>
    </row>
    <row r="177" spans="1:23">
      <c r="A177" s="26"/>
      <c r="B177" s="26"/>
      <c r="C177" s="26"/>
      <c r="D177" s="26"/>
      <c r="E177" s="26"/>
      <c r="F177" s="26"/>
      <c r="G177" s="26"/>
      <c r="H177" s="26"/>
      <c r="I177" s="26"/>
      <c r="J177" s="26"/>
      <c r="K177" s="26"/>
      <c r="L177" s="26"/>
      <c r="M177" s="26"/>
      <c r="N177" s="26"/>
      <c r="O177" s="26"/>
      <c r="P177" s="26"/>
      <c r="Q177" s="26"/>
      <c r="R177" s="26"/>
      <c r="S177" s="26"/>
      <c r="T177" s="26"/>
      <c r="U177" s="26"/>
      <c r="V177" s="26"/>
      <c r="W177" s="26"/>
    </row>
    <row r="178" spans="1:23">
      <c r="A178" s="26"/>
      <c r="B178" s="26"/>
      <c r="C178" s="26"/>
      <c r="D178" s="26"/>
      <c r="E178" s="26"/>
      <c r="F178" s="26"/>
      <c r="G178" s="26"/>
      <c r="H178" s="26"/>
      <c r="I178" s="26"/>
      <c r="J178" s="26"/>
      <c r="K178" s="26"/>
      <c r="L178" s="26"/>
      <c r="M178" s="26"/>
      <c r="N178" s="26"/>
      <c r="O178" s="26"/>
      <c r="P178" s="26"/>
      <c r="Q178" s="26"/>
      <c r="R178" s="26"/>
      <c r="S178" s="26"/>
      <c r="T178" s="26"/>
      <c r="U178" s="26"/>
      <c r="V178" s="26"/>
      <c r="W178" s="26"/>
    </row>
    <row r="179" spans="1:23">
      <c r="A179" s="26"/>
      <c r="B179" s="26"/>
      <c r="C179" s="26"/>
      <c r="D179" s="26"/>
      <c r="E179" s="26"/>
      <c r="F179" s="26"/>
      <c r="G179" s="26"/>
      <c r="H179" s="26"/>
      <c r="I179" s="26"/>
      <c r="J179" s="26"/>
      <c r="K179" s="26"/>
      <c r="L179" s="26"/>
      <c r="M179" s="26"/>
      <c r="N179" s="26"/>
      <c r="O179" s="26"/>
      <c r="P179" s="26"/>
      <c r="Q179" s="26"/>
      <c r="R179" s="26"/>
      <c r="S179" s="26"/>
      <c r="T179" s="26"/>
      <c r="U179" s="26"/>
      <c r="V179" s="26"/>
      <c r="W179" s="26"/>
    </row>
    <row r="180" spans="1:23">
      <c r="A180" s="26"/>
      <c r="B180" s="26"/>
      <c r="C180" s="26"/>
      <c r="D180" s="26"/>
      <c r="E180" s="26"/>
      <c r="F180" s="26"/>
      <c r="G180" s="26"/>
      <c r="H180" s="26"/>
      <c r="I180" s="26"/>
      <c r="J180" s="26"/>
      <c r="K180" s="26"/>
      <c r="L180" s="26"/>
      <c r="M180" s="26"/>
      <c r="N180" s="26"/>
      <c r="O180" s="26"/>
      <c r="P180" s="26"/>
      <c r="Q180" s="26"/>
      <c r="R180" s="26"/>
      <c r="S180" s="26"/>
      <c r="T180" s="26"/>
      <c r="U180" s="26"/>
      <c r="V180" s="26"/>
      <c r="W180" s="26"/>
    </row>
    <row r="181" spans="1:23">
      <c r="A181" s="26"/>
      <c r="B181" s="26"/>
      <c r="C181" s="26"/>
      <c r="D181" s="26"/>
      <c r="E181" s="26"/>
      <c r="F181" s="26"/>
      <c r="G181" s="26"/>
      <c r="H181" s="26"/>
      <c r="I181" s="26"/>
      <c r="J181" s="26"/>
      <c r="K181" s="26"/>
      <c r="L181" s="26"/>
      <c r="M181" s="26"/>
      <c r="N181" s="26"/>
      <c r="O181" s="26"/>
      <c r="P181" s="26"/>
      <c r="Q181" s="26"/>
      <c r="R181" s="26"/>
      <c r="S181" s="26"/>
      <c r="T181" s="26"/>
      <c r="U181" s="26"/>
      <c r="V181" s="26"/>
      <c r="W181" s="26"/>
    </row>
    <row r="182" spans="1:23">
      <c r="A182" s="26"/>
      <c r="B182" s="26"/>
      <c r="C182" s="26"/>
      <c r="D182" s="26"/>
      <c r="E182" s="26"/>
      <c r="F182" s="26"/>
      <c r="G182" s="26"/>
      <c r="H182" s="26"/>
      <c r="I182" s="26"/>
      <c r="J182" s="26"/>
      <c r="K182" s="26"/>
      <c r="L182" s="26"/>
      <c r="M182" s="26"/>
      <c r="N182" s="26"/>
      <c r="O182" s="26"/>
      <c r="P182" s="26"/>
      <c r="Q182" s="26"/>
      <c r="R182" s="26"/>
      <c r="S182" s="26"/>
      <c r="T182" s="26"/>
      <c r="U182" s="26"/>
      <c r="V182" s="26"/>
      <c r="W182" s="26"/>
    </row>
    <row r="183" spans="1:23">
      <c r="A183" s="26"/>
      <c r="B183" s="26"/>
      <c r="C183" s="26"/>
      <c r="D183" s="26"/>
      <c r="E183" s="26"/>
      <c r="F183" s="26"/>
      <c r="G183" s="26"/>
      <c r="H183" s="26"/>
      <c r="I183" s="26"/>
      <c r="J183" s="26"/>
      <c r="K183" s="26"/>
      <c r="L183" s="26"/>
      <c r="M183" s="26"/>
      <c r="N183" s="26"/>
      <c r="O183" s="26"/>
      <c r="P183" s="26"/>
      <c r="Q183" s="26"/>
      <c r="R183" s="26"/>
      <c r="S183" s="26"/>
      <c r="T183" s="26"/>
      <c r="U183" s="26"/>
      <c r="V183" s="26"/>
      <c r="W183" s="26"/>
    </row>
    <row r="184" spans="1:23">
      <c r="A184" s="26"/>
      <c r="B184" s="26"/>
      <c r="C184" s="26"/>
      <c r="D184" s="26"/>
      <c r="E184" s="26"/>
      <c r="F184" s="26"/>
      <c r="G184" s="26"/>
      <c r="H184" s="26"/>
      <c r="I184" s="26"/>
      <c r="J184" s="26"/>
      <c r="K184" s="26"/>
      <c r="L184" s="26"/>
      <c r="M184" s="26"/>
      <c r="N184" s="26"/>
      <c r="O184" s="26"/>
      <c r="P184" s="26"/>
      <c r="Q184" s="26"/>
      <c r="R184" s="26"/>
      <c r="S184" s="26"/>
      <c r="T184" s="26"/>
      <c r="U184" s="26"/>
      <c r="V184" s="26"/>
      <c r="W184" s="26"/>
    </row>
    <row r="185" spans="1:23">
      <c r="A185" s="26"/>
      <c r="B185" s="26"/>
      <c r="C185" s="26"/>
      <c r="D185" s="26"/>
      <c r="E185" s="26"/>
      <c r="F185" s="26"/>
      <c r="G185" s="26"/>
      <c r="H185" s="26"/>
      <c r="I185" s="26"/>
      <c r="J185" s="26"/>
      <c r="K185" s="26"/>
      <c r="L185" s="26"/>
      <c r="M185" s="26"/>
      <c r="N185" s="26"/>
      <c r="O185" s="26"/>
      <c r="P185" s="26"/>
      <c r="Q185" s="26"/>
      <c r="R185" s="26"/>
      <c r="S185" s="26"/>
      <c r="T185" s="26"/>
      <c r="U185" s="26"/>
      <c r="V185" s="26"/>
      <c r="W185" s="26"/>
    </row>
    <row r="186" spans="1:23">
      <c r="A186" s="26"/>
      <c r="B186" s="26"/>
      <c r="C186" s="26"/>
      <c r="D186" s="26"/>
      <c r="E186" s="26"/>
      <c r="F186" s="26"/>
      <c r="G186" s="26"/>
      <c r="H186" s="26"/>
      <c r="I186" s="26"/>
      <c r="J186" s="26"/>
      <c r="K186" s="26"/>
      <c r="L186" s="26"/>
      <c r="M186" s="26"/>
      <c r="N186" s="26"/>
      <c r="O186" s="26"/>
      <c r="P186" s="26"/>
      <c r="Q186" s="26"/>
      <c r="R186" s="26"/>
      <c r="S186" s="26"/>
      <c r="T186" s="26"/>
      <c r="U186" s="26"/>
      <c r="V186" s="26"/>
      <c r="W186" s="26"/>
    </row>
    <row r="187" spans="1:23">
      <c r="A187" s="26"/>
      <c r="B187" s="26"/>
      <c r="C187" s="26"/>
      <c r="D187" s="26"/>
      <c r="E187" s="26"/>
      <c r="F187" s="26"/>
      <c r="G187" s="26"/>
      <c r="H187" s="26"/>
      <c r="I187" s="26"/>
      <c r="J187" s="26"/>
      <c r="K187" s="26"/>
      <c r="L187" s="26"/>
      <c r="M187" s="26"/>
      <c r="N187" s="26"/>
      <c r="O187" s="26"/>
      <c r="P187" s="26"/>
      <c r="Q187" s="26"/>
      <c r="R187" s="26"/>
      <c r="S187" s="26"/>
      <c r="T187" s="26"/>
      <c r="U187" s="26"/>
      <c r="V187" s="26"/>
      <c r="W187" s="26"/>
    </row>
    <row r="188" spans="1:23">
      <c r="A188" s="26"/>
      <c r="B188" s="26"/>
      <c r="C188" s="26"/>
      <c r="D188" s="26"/>
      <c r="E188" s="26"/>
      <c r="F188" s="26"/>
      <c r="G188" s="26"/>
      <c r="H188" s="26"/>
      <c r="I188" s="26"/>
      <c r="J188" s="26"/>
      <c r="K188" s="26"/>
      <c r="L188" s="26"/>
      <c r="M188" s="26"/>
      <c r="N188" s="26"/>
      <c r="O188" s="26"/>
      <c r="P188" s="26"/>
      <c r="Q188" s="26"/>
      <c r="R188" s="26"/>
      <c r="S188" s="26"/>
      <c r="T188" s="26"/>
      <c r="U188" s="26"/>
      <c r="V188" s="26"/>
      <c r="W188" s="26"/>
    </row>
    <row r="189" spans="1:23">
      <c r="A189" s="26"/>
      <c r="B189" s="26"/>
      <c r="C189" s="26"/>
      <c r="D189" s="26"/>
      <c r="E189" s="26"/>
      <c r="F189" s="26"/>
      <c r="G189" s="26"/>
      <c r="H189" s="26"/>
      <c r="I189" s="26"/>
      <c r="J189" s="26"/>
      <c r="K189" s="26"/>
      <c r="L189" s="26"/>
      <c r="M189" s="26"/>
      <c r="N189" s="26"/>
      <c r="O189" s="26"/>
      <c r="P189" s="26"/>
      <c r="Q189" s="26"/>
      <c r="R189" s="26"/>
      <c r="S189" s="26"/>
      <c r="T189" s="26"/>
      <c r="U189" s="26"/>
      <c r="V189" s="26"/>
      <c r="W189" s="26"/>
    </row>
    <row r="190" spans="1:23">
      <c r="A190" s="26"/>
      <c r="B190" s="26"/>
      <c r="C190" s="26"/>
      <c r="D190" s="26"/>
      <c r="E190" s="26"/>
      <c r="F190" s="26"/>
      <c r="G190" s="26"/>
      <c r="H190" s="26"/>
      <c r="I190" s="26"/>
      <c r="J190" s="26"/>
      <c r="K190" s="26"/>
      <c r="L190" s="26"/>
      <c r="M190" s="26"/>
      <c r="N190" s="26"/>
      <c r="O190" s="26"/>
      <c r="P190" s="26"/>
      <c r="Q190" s="26"/>
      <c r="R190" s="26"/>
      <c r="S190" s="26"/>
      <c r="T190" s="26"/>
      <c r="U190" s="26"/>
      <c r="V190" s="26"/>
      <c r="W190" s="26"/>
    </row>
    <row r="191" spans="1:23">
      <c r="A191" s="26"/>
      <c r="B191" s="26"/>
      <c r="C191" s="26"/>
      <c r="D191" s="26"/>
      <c r="E191" s="26"/>
      <c r="F191" s="26"/>
      <c r="G191" s="26"/>
      <c r="H191" s="26"/>
      <c r="I191" s="26"/>
      <c r="J191" s="26"/>
      <c r="K191" s="26"/>
      <c r="L191" s="26"/>
      <c r="M191" s="26"/>
      <c r="N191" s="26"/>
      <c r="O191" s="26"/>
      <c r="P191" s="26"/>
      <c r="Q191" s="26"/>
      <c r="R191" s="26"/>
      <c r="S191" s="26"/>
      <c r="T191" s="26"/>
      <c r="U191" s="26"/>
      <c r="V191" s="26"/>
      <c r="W191" s="26"/>
    </row>
    <row r="192" spans="1:23">
      <c r="A192" s="26"/>
      <c r="B192" s="26"/>
      <c r="C192" s="26"/>
      <c r="D192" s="26"/>
      <c r="E192" s="26"/>
      <c r="F192" s="26"/>
      <c r="G192" s="26"/>
      <c r="H192" s="26"/>
      <c r="I192" s="26"/>
      <c r="J192" s="26"/>
      <c r="K192" s="26"/>
      <c r="L192" s="26"/>
      <c r="M192" s="26"/>
      <c r="N192" s="26"/>
      <c r="O192" s="26"/>
      <c r="P192" s="26"/>
      <c r="Q192" s="26"/>
      <c r="R192" s="26"/>
      <c r="S192" s="26"/>
      <c r="T192" s="26"/>
      <c r="U192" s="26"/>
      <c r="V192" s="26"/>
      <c r="W192" s="26"/>
    </row>
    <row r="193" spans="1:23">
      <c r="A193" s="26"/>
      <c r="B193" s="26"/>
      <c r="C193" s="26"/>
      <c r="D193" s="26"/>
      <c r="E193" s="26"/>
      <c r="F193" s="26"/>
      <c r="G193" s="26"/>
      <c r="H193" s="26"/>
      <c r="I193" s="26"/>
      <c r="J193" s="26"/>
      <c r="K193" s="26"/>
      <c r="L193" s="26"/>
      <c r="M193" s="26"/>
      <c r="N193" s="26"/>
      <c r="O193" s="26"/>
      <c r="P193" s="26"/>
      <c r="Q193" s="26"/>
      <c r="R193" s="26"/>
      <c r="S193" s="26"/>
      <c r="T193" s="26"/>
      <c r="U193" s="26"/>
      <c r="V193" s="26"/>
      <c r="W193" s="26"/>
    </row>
    <row r="194" spans="1:23">
      <c r="A194" s="26"/>
      <c r="B194" s="26"/>
      <c r="C194" s="26"/>
      <c r="D194" s="26"/>
      <c r="E194" s="26"/>
      <c r="F194" s="26"/>
      <c r="G194" s="26"/>
      <c r="H194" s="26"/>
      <c r="I194" s="26"/>
      <c r="J194" s="26"/>
      <c r="K194" s="26"/>
      <c r="L194" s="26"/>
      <c r="M194" s="26"/>
      <c r="N194" s="26"/>
      <c r="O194" s="26"/>
      <c r="P194" s="26"/>
      <c r="Q194" s="26"/>
      <c r="R194" s="26"/>
      <c r="S194" s="26"/>
      <c r="T194" s="26"/>
      <c r="U194" s="26"/>
      <c r="V194" s="26"/>
      <c r="W194" s="26"/>
    </row>
    <row r="195" spans="1:23">
      <c r="A195" s="26"/>
      <c r="B195" s="26"/>
      <c r="C195" s="26"/>
      <c r="D195" s="26"/>
      <c r="E195" s="26"/>
      <c r="F195" s="26"/>
      <c r="G195" s="26"/>
      <c r="H195" s="26"/>
      <c r="I195" s="26"/>
      <c r="J195" s="26"/>
      <c r="K195" s="26"/>
      <c r="L195" s="26"/>
      <c r="M195" s="26"/>
      <c r="N195" s="26"/>
      <c r="O195" s="26"/>
      <c r="P195" s="26"/>
      <c r="Q195" s="26"/>
      <c r="R195" s="26"/>
      <c r="S195" s="26"/>
      <c r="T195" s="26"/>
      <c r="U195" s="26"/>
      <c r="V195" s="26"/>
      <c r="W195" s="26"/>
    </row>
    <row r="196" spans="1:23">
      <c r="A196" s="26"/>
      <c r="B196" s="26"/>
      <c r="C196" s="26"/>
      <c r="D196" s="26"/>
      <c r="E196" s="26"/>
      <c r="F196" s="26"/>
      <c r="G196" s="26"/>
      <c r="H196" s="26"/>
      <c r="I196" s="26"/>
      <c r="J196" s="26"/>
      <c r="K196" s="26"/>
      <c r="L196" s="26"/>
      <c r="M196" s="26"/>
      <c r="N196" s="26"/>
      <c r="O196" s="26"/>
      <c r="P196" s="26"/>
      <c r="Q196" s="26"/>
      <c r="R196" s="26"/>
      <c r="S196" s="26"/>
      <c r="T196" s="26"/>
      <c r="U196" s="26"/>
      <c r="V196" s="26"/>
      <c r="W196" s="26"/>
    </row>
    <row r="197" spans="1:23">
      <c r="A197" s="26"/>
      <c r="B197" s="26"/>
      <c r="C197" s="26"/>
      <c r="D197" s="26"/>
      <c r="E197" s="26"/>
      <c r="F197" s="26"/>
      <c r="G197" s="26"/>
      <c r="H197" s="26"/>
      <c r="I197" s="26"/>
      <c r="J197" s="26"/>
      <c r="K197" s="26"/>
      <c r="L197" s="26"/>
      <c r="M197" s="26"/>
      <c r="N197" s="26"/>
      <c r="O197" s="26"/>
      <c r="P197" s="26"/>
      <c r="Q197" s="26"/>
      <c r="R197" s="26"/>
      <c r="S197" s="26"/>
      <c r="T197" s="26"/>
      <c r="U197" s="26"/>
      <c r="V197" s="26"/>
      <c r="W197" s="26"/>
    </row>
    <row r="198" spans="1:23">
      <c r="A198" s="26"/>
      <c r="B198" s="26"/>
      <c r="C198" s="26"/>
      <c r="D198" s="26"/>
      <c r="E198" s="26"/>
      <c r="F198" s="26"/>
      <c r="G198" s="26"/>
      <c r="H198" s="26"/>
      <c r="I198" s="26"/>
      <c r="J198" s="26"/>
      <c r="K198" s="26"/>
      <c r="L198" s="26"/>
      <c r="M198" s="26"/>
      <c r="N198" s="26"/>
      <c r="O198" s="26"/>
      <c r="P198" s="26"/>
      <c r="Q198" s="26"/>
      <c r="R198" s="26"/>
      <c r="S198" s="26"/>
      <c r="T198" s="26"/>
      <c r="U198" s="26"/>
      <c r="V198" s="26"/>
      <c r="W198" s="26"/>
    </row>
    <row r="199" spans="1:23">
      <c r="A199" s="26"/>
      <c r="B199" s="26"/>
      <c r="C199" s="26"/>
      <c r="D199" s="26"/>
      <c r="E199" s="26"/>
      <c r="F199" s="26"/>
      <c r="G199" s="26"/>
      <c r="H199" s="26"/>
      <c r="I199" s="26"/>
      <c r="J199" s="26"/>
      <c r="K199" s="26"/>
      <c r="L199" s="26"/>
      <c r="M199" s="26"/>
      <c r="N199" s="26"/>
      <c r="O199" s="26"/>
      <c r="P199" s="26"/>
      <c r="Q199" s="26"/>
      <c r="R199" s="26"/>
      <c r="S199" s="26"/>
      <c r="T199" s="26"/>
      <c r="U199" s="26"/>
      <c r="V199" s="26"/>
      <c r="W199" s="26"/>
    </row>
    <row r="200" spans="1:23">
      <c r="A200" s="26"/>
      <c r="B200" s="26"/>
      <c r="C200" s="26"/>
      <c r="D200" s="26"/>
      <c r="E200" s="26"/>
      <c r="F200" s="26"/>
      <c r="G200" s="26"/>
      <c r="H200" s="26"/>
      <c r="I200" s="26"/>
      <c r="J200" s="26"/>
      <c r="K200" s="26"/>
      <c r="L200" s="26"/>
      <c r="M200" s="26"/>
      <c r="N200" s="26"/>
      <c r="O200" s="26"/>
      <c r="P200" s="26"/>
      <c r="Q200" s="26"/>
      <c r="R200" s="26"/>
      <c r="S200" s="26"/>
      <c r="T200" s="26"/>
      <c r="U200" s="26"/>
      <c r="V200" s="26"/>
      <c r="W200" s="26"/>
    </row>
    <row r="201" spans="1:23">
      <c r="A201" s="26"/>
      <c r="B201" s="26"/>
      <c r="C201" s="26"/>
      <c r="D201" s="26"/>
      <c r="E201" s="26"/>
      <c r="F201" s="26"/>
      <c r="G201" s="26"/>
      <c r="H201" s="26"/>
      <c r="I201" s="26"/>
      <c r="J201" s="26"/>
      <c r="K201" s="26"/>
      <c r="L201" s="26"/>
      <c r="M201" s="26"/>
      <c r="N201" s="26"/>
      <c r="O201" s="26"/>
      <c r="P201" s="26"/>
      <c r="Q201" s="26"/>
      <c r="R201" s="26"/>
      <c r="S201" s="26"/>
      <c r="T201" s="26"/>
      <c r="U201" s="26"/>
      <c r="V201" s="26"/>
      <c r="W201" s="26"/>
    </row>
    <row r="202" spans="1:23">
      <c r="A202" s="26"/>
      <c r="B202" s="26"/>
      <c r="C202" s="26"/>
      <c r="D202" s="26"/>
      <c r="E202" s="26"/>
      <c r="F202" s="26"/>
      <c r="G202" s="26"/>
      <c r="H202" s="26"/>
      <c r="I202" s="26"/>
      <c r="J202" s="26"/>
      <c r="K202" s="26"/>
      <c r="L202" s="26"/>
      <c r="M202" s="26"/>
      <c r="N202" s="26"/>
      <c r="O202" s="26"/>
      <c r="P202" s="26"/>
      <c r="Q202" s="26"/>
      <c r="R202" s="26"/>
      <c r="S202" s="26"/>
      <c r="T202" s="26"/>
      <c r="U202" s="26"/>
      <c r="V202" s="26"/>
      <c r="W202" s="26"/>
    </row>
    <row r="203" spans="1:23">
      <c r="A203" s="26"/>
      <c r="B203" s="26"/>
      <c r="C203" s="26"/>
      <c r="D203" s="26"/>
      <c r="E203" s="26"/>
      <c r="F203" s="26"/>
      <c r="G203" s="26"/>
      <c r="H203" s="26"/>
      <c r="I203" s="26"/>
      <c r="J203" s="26"/>
      <c r="K203" s="26"/>
      <c r="L203" s="26"/>
      <c r="M203" s="26"/>
      <c r="N203" s="26"/>
      <c r="O203" s="26"/>
      <c r="P203" s="26"/>
      <c r="Q203" s="26"/>
      <c r="R203" s="26"/>
      <c r="S203" s="26"/>
      <c r="T203" s="26"/>
      <c r="U203" s="26"/>
      <c r="V203" s="26"/>
      <c r="W203" s="26"/>
    </row>
    <row r="204" spans="1:23">
      <c r="A204" s="26"/>
      <c r="B204" s="26"/>
      <c r="C204" s="26"/>
      <c r="D204" s="26"/>
      <c r="E204" s="26"/>
      <c r="F204" s="26"/>
      <c r="G204" s="26"/>
      <c r="H204" s="26"/>
      <c r="I204" s="26"/>
      <c r="J204" s="26"/>
      <c r="K204" s="26"/>
      <c r="L204" s="26"/>
      <c r="M204" s="26"/>
      <c r="N204" s="26"/>
      <c r="O204" s="26"/>
      <c r="P204" s="26"/>
      <c r="Q204" s="26"/>
      <c r="R204" s="26"/>
      <c r="S204" s="26"/>
      <c r="T204" s="26"/>
      <c r="U204" s="26"/>
      <c r="V204" s="26"/>
      <c r="W204" s="26"/>
    </row>
    <row r="205" spans="1:23">
      <c r="A205" s="26"/>
      <c r="B205" s="26"/>
      <c r="C205" s="26"/>
      <c r="D205" s="26"/>
      <c r="E205" s="26"/>
      <c r="F205" s="26"/>
      <c r="G205" s="26"/>
      <c r="H205" s="26"/>
      <c r="I205" s="26"/>
      <c r="J205" s="26"/>
      <c r="K205" s="26"/>
      <c r="L205" s="26"/>
      <c r="M205" s="26"/>
      <c r="N205" s="26"/>
      <c r="O205" s="26"/>
      <c r="P205" s="26"/>
      <c r="Q205" s="26"/>
      <c r="R205" s="26"/>
      <c r="S205" s="26"/>
      <c r="T205" s="26"/>
      <c r="U205" s="26"/>
      <c r="V205" s="26"/>
      <c r="W205" s="26"/>
    </row>
    <row r="206" spans="1:23">
      <c r="A206" s="26"/>
      <c r="B206" s="26"/>
      <c r="C206" s="26"/>
      <c r="D206" s="26"/>
      <c r="E206" s="26"/>
      <c r="F206" s="26"/>
      <c r="G206" s="26"/>
      <c r="H206" s="26"/>
      <c r="I206" s="26"/>
      <c r="J206" s="26"/>
      <c r="K206" s="26"/>
      <c r="L206" s="26"/>
      <c r="M206" s="26"/>
      <c r="N206" s="26"/>
      <c r="O206" s="26"/>
      <c r="P206" s="26"/>
      <c r="Q206" s="26"/>
      <c r="R206" s="26"/>
      <c r="S206" s="26"/>
      <c r="T206" s="26"/>
      <c r="U206" s="26"/>
      <c r="V206" s="26"/>
      <c r="W206" s="26"/>
    </row>
    <row r="207" spans="1:23">
      <c r="A207" s="26"/>
      <c r="B207" s="26"/>
      <c r="C207" s="26"/>
      <c r="D207" s="26"/>
      <c r="E207" s="26"/>
      <c r="F207" s="26"/>
      <c r="G207" s="26"/>
      <c r="H207" s="26"/>
      <c r="I207" s="26"/>
      <c r="J207" s="26"/>
      <c r="K207" s="26"/>
      <c r="L207" s="26"/>
      <c r="M207" s="26"/>
      <c r="N207" s="26"/>
      <c r="O207" s="26"/>
      <c r="P207" s="26"/>
      <c r="Q207" s="26"/>
      <c r="R207" s="26"/>
      <c r="S207" s="26"/>
      <c r="T207" s="26"/>
      <c r="U207" s="26"/>
      <c r="V207" s="26"/>
      <c r="W207" s="26"/>
    </row>
    <row r="208" spans="1:23">
      <c r="A208" s="26"/>
      <c r="B208" s="26"/>
      <c r="C208" s="26"/>
      <c r="D208" s="26"/>
      <c r="E208" s="26"/>
      <c r="F208" s="26"/>
      <c r="G208" s="26"/>
      <c r="H208" s="26"/>
      <c r="I208" s="26"/>
      <c r="J208" s="26"/>
      <c r="K208" s="26"/>
      <c r="L208" s="26"/>
      <c r="M208" s="26"/>
      <c r="N208" s="26"/>
      <c r="O208" s="26"/>
      <c r="P208" s="26"/>
      <c r="Q208" s="26"/>
      <c r="R208" s="26"/>
      <c r="S208" s="26"/>
      <c r="T208" s="26"/>
      <c r="U208" s="26"/>
      <c r="V208" s="26"/>
      <c r="W208" s="26"/>
    </row>
    <row r="209" spans="1:23">
      <c r="A209" s="26"/>
      <c r="B209" s="26"/>
      <c r="C209" s="26"/>
      <c r="D209" s="26"/>
      <c r="E209" s="26"/>
      <c r="F209" s="26"/>
      <c r="G209" s="26"/>
      <c r="H209" s="26"/>
      <c r="I209" s="26"/>
      <c r="J209" s="26"/>
      <c r="K209" s="26"/>
      <c r="L209" s="26"/>
      <c r="M209" s="26"/>
      <c r="N209" s="26"/>
      <c r="O209" s="26"/>
      <c r="P209" s="26"/>
      <c r="Q209" s="26"/>
      <c r="R209" s="26"/>
      <c r="S209" s="26"/>
      <c r="T209" s="26"/>
      <c r="U209" s="26"/>
      <c r="V209" s="26"/>
      <c r="W209" s="26"/>
    </row>
    <row r="210" spans="1:23">
      <c r="A210" s="26"/>
      <c r="B210" s="26"/>
      <c r="C210" s="26"/>
      <c r="D210" s="26"/>
      <c r="E210" s="26"/>
      <c r="F210" s="26"/>
      <c r="G210" s="26"/>
      <c r="H210" s="26"/>
      <c r="I210" s="26"/>
      <c r="J210" s="26"/>
      <c r="K210" s="26"/>
      <c r="L210" s="26"/>
      <c r="M210" s="26"/>
      <c r="N210" s="26"/>
      <c r="O210" s="26"/>
      <c r="P210" s="26"/>
      <c r="Q210" s="26"/>
      <c r="R210" s="26"/>
      <c r="S210" s="26"/>
      <c r="T210" s="26"/>
      <c r="U210" s="26"/>
      <c r="V210" s="26"/>
      <c r="W210" s="26"/>
    </row>
    <row r="211" spans="1:23">
      <c r="A211" s="26"/>
      <c r="B211" s="26"/>
      <c r="C211" s="26"/>
      <c r="D211" s="26"/>
      <c r="E211" s="26"/>
      <c r="F211" s="26"/>
      <c r="G211" s="26"/>
      <c r="H211" s="26"/>
      <c r="I211" s="26"/>
      <c r="J211" s="26"/>
      <c r="K211" s="26"/>
      <c r="L211" s="26"/>
      <c r="M211" s="26"/>
      <c r="N211" s="26"/>
      <c r="O211" s="26"/>
      <c r="P211" s="26"/>
      <c r="Q211" s="26"/>
      <c r="R211" s="26"/>
      <c r="S211" s="26"/>
      <c r="T211" s="26"/>
      <c r="U211" s="26"/>
      <c r="V211" s="26"/>
      <c r="W211" s="26"/>
    </row>
    <row r="212" spans="1:23">
      <c r="A212" s="26"/>
      <c r="B212" s="26"/>
      <c r="C212" s="26"/>
      <c r="D212" s="26"/>
      <c r="E212" s="26"/>
      <c r="F212" s="26"/>
      <c r="G212" s="26"/>
      <c r="H212" s="26"/>
      <c r="I212" s="26"/>
      <c r="J212" s="26"/>
      <c r="K212" s="26"/>
      <c r="L212" s="26"/>
      <c r="M212" s="26"/>
      <c r="N212" s="26"/>
      <c r="O212" s="26"/>
      <c r="P212" s="26"/>
      <c r="Q212" s="26"/>
      <c r="R212" s="26"/>
      <c r="S212" s="26"/>
      <c r="T212" s="26"/>
      <c r="U212" s="26"/>
      <c r="V212" s="26"/>
      <c r="W212" s="26"/>
    </row>
    <row r="213" spans="1:23">
      <c r="A213" s="26"/>
      <c r="B213" s="26"/>
      <c r="C213" s="26"/>
      <c r="D213" s="26"/>
      <c r="E213" s="26"/>
      <c r="F213" s="26"/>
      <c r="G213" s="26"/>
      <c r="H213" s="26"/>
      <c r="I213" s="26"/>
      <c r="J213" s="26"/>
      <c r="K213" s="26"/>
      <c r="L213" s="26"/>
      <c r="M213" s="26"/>
      <c r="N213" s="26"/>
      <c r="O213" s="26"/>
      <c r="P213" s="26"/>
      <c r="Q213" s="26"/>
      <c r="R213" s="26"/>
      <c r="S213" s="26"/>
      <c r="T213" s="26"/>
      <c r="U213" s="26"/>
      <c r="V213" s="26"/>
      <c r="W213" s="26"/>
    </row>
    <row r="214" spans="1:23">
      <c r="A214" s="26"/>
      <c r="B214" s="26"/>
      <c r="C214" s="26"/>
      <c r="D214" s="26"/>
      <c r="E214" s="26"/>
      <c r="F214" s="26"/>
      <c r="G214" s="26"/>
      <c r="H214" s="26"/>
      <c r="I214" s="26"/>
      <c r="J214" s="26"/>
      <c r="K214" s="26"/>
      <c r="L214" s="26"/>
      <c r="M214" s="26"/>
      <c r="N214" s="26"/>
      <c r="O214" s="26"/>
      <c r="P214" s="26"/>
      <c r="Q214" s="26"/>
      <c r="R214" s="26"/>
      <c r="S214" s="26"/>
      <c r="T214" s="26"/>
      <c r="U214" s="26"/>
      <c r="V214" s="26"/>
      <c r="W214" s="26"/>
    </row>
    <row r="215" spans="1:23">
      <c r="A215" s="26"/>
      <c r="B215" s="26"/>
      <c r="C215" s="26"/>
      <c r="D215" s="26"/>
      <c r="E215" s="26"/>
      <c r="F215" s="26"/>
      <c r="G215" s="26"/>
      <c r="H215" s="26"/>
      <c r="I215" s="26"/>
      <c r="J215" s="26"/>
      <c r="K215" s="26"/>
      <c r="L215" s="26"/>
      <c r="M215" s="26"/>
      <c r="N215" s="26"/>
      <c r="O215" s="26"/>
      <c r="P215" s="26"/>
      <c r="Q215" s="26"/>
      <c r="R215" s="26"/>
      <c r="S215" s="26"/>
      <c r="T215" s="26"/>
      <c r="U215" s="26"/>
      <c r="V215" s="26"/>
      <c r="W215" s="26"/>
    </row>
    <row r="216" spans="1:23">
      <c r="A216" s="26"/>
      <c r="B216" s="26"/>
      <c r="C216" s="26"/>
      <c r="D216" s="26"/>
      <c r="E216" s="26"/>
      <c r="F216" s="26"/>
      <c r="G216" s="26"/>
      <c r="H216" s="26"/>
      <c r="I216" s="26"/>
      <c r="J216" s="26"/>
      <c r="K216" s="26"/>
      <c r="L216" s="26"/>
      <c r="M216" s="26"/>
      <c r="N216" s="26"/>
      <c r="O216" s="26"/>
      <c r="P216" s="26"/>
      <c r="Q216" s="26"/>
      <c r="R216" s="26"/>
      <c r="S216" s="26"/>
      <c r="T216" s="26"/>
      <c r="U216" s="26"/>
      <c r="V216" s="26"/>
      <c r="W216" s="26"/>
    </row>
    <row r="217" spans="1:23">
      <c r="A217" s="26"/>
      <c r="B217" s="26"/>
      <c r="C217" s="26"/>
      <c r="D217" s="26"/>
      <c r="E217" s="26"/>
      <c r="F217" s="26"/>
      <c r="G217" s="26"/>
      <c r="H217" s="26"/>
      <c r="I217" s="26"/>
      <c r="J217" s="26"/>
      <c r="K217" s="26"/>
      <c r="L217" s="26"/>
      <c r="M217" s="26"/>
      <c r="N217" s="26"/>
      <c r="O217" s="26"/>
      <c r="P217" s="26"/>
      <c r="Q217" s="26"/>
      <c r="R217" s="26"/>
      <c r="S217" s="26"/>
      <c r="T217" s="26"/>
      <c r="U217" s="26"/>
      <c r="V217" s="26"/>
      <c r="W217" s="26"/>
    </row>
    <row r="218" spans="1:23">
      <c r="A218" s="26"/>
      <c r="B218" s="26"/>
      <c r="C218" s="26"/>
      <c r="D218" s="26"/>
      <c r="E218" s="26"/>
      <c r="F218" s="26"/>
      <c r="G218" s="26"/>
      <c r="H218" s="26"/>
      <c r="I218" s="26"/>
      <c r="J218" s="26"/>
      <c r="K218" s="26"/>
      <c r="L218" s="26"/>
      <c r="M218" s="26"/>
      <c r="N218" s="26"/>
      <c r="O218" s="26"/>
      <c r="P218" s="26"/>
      <c r="Q218" s="26"/>
      <c r="R218" s="26"/>
      <c r="S218" s="26"/>
      <c r="T218" s="26"/>
      <c r="U218" s="26"/>
      <c r="V218" s="26"/>
      <c r="W218" s="26"/>
    </row>
    <row r="219" spans="1:23">
      <c r="A219" s="26"/>
      <c r="B219" s="26"/>
      <c r="C219" s="26"/>
      <c r="D219" s="26"/>
      <c r="E219" s="26"/>
      <c r="F219" s="26"/>
      <c r="G219" s="26"/>
      <c r="H219" s="26"/>
      <c r="I219" s="26"/>
      <c r="J219" s="26"/>
      <c r="K219" s="26"/>
      <c r="L219" s="26"/>
      <c r="M219" s="26"/>
      <c r="N219" s="26"/>
      <c r="O219" s="26"/>
      <c r="P219" s="26"/>
      <c r="Q219" s="26"/>
      <c r="R219" s="26"/>
      <c r="S219" s="26"/>
      <c r="T219" s="26"/>
      <c r="U219" s="26"/>
      <c r="V219" s="26"/>
      <c r="W219" s="26"/>
    </row>
    <row r="220" spans="1:23">
      <c r="A220" s="26"/>
      <c r="B220" s="26"/>
      <c r="C220" s="26"/>
      <c r="D220" s="26"/>
      <c r="E220" s="26"/>
      <c r="F220" s="26"/>
      <c r="G220" s="26"/>
      <c r="H220" s="26"/>
      <c r="I220" s="26"/>
      <c r="J220" s="26"/>
      <c r="K220" s="26"/>
      <c r="L220" s="26"/>
      <c r="M220" s="26"/>
      <c r="N220" s="26"/>
      <c r="O220" s="26"/>
      <c r="P220" s="26"/>
      <c r="Q220" s="26"/>
      <c r="R220" s="26"/>
      <c r="S220" s="26"/>
      <c r="T220" s="26"/>
      <c r="U220" s="26"/>
      <c r="V220" s="26"/>
      <c r="W220" s="26"/>
    </row>
    <row r="221" spans="1:23">
      <c r="A221" s="26"/>
      <c r="B221" s="26"/>
      <c r="C221" s="26"/>
      <c r="D221" s="26"/>
      <c r="E221" s="26"/>
      <c r="F221" s="26"/>
      <c r="G221" s="26"/>
      <c r="H221" s="26"/>
      <c r="I221" s="26"/>
      <c r="J221" s="26"/>
      <c r="K221" s="26"/>
      <c r="L221" s="26"/>
      <c r="M221" s="26"/>
      <c r="N221" s="26"/>
      <c r="O221" s="26"/>
      <c r="P221" s="26"/>
      <c r="Q221" s="26"/>
      <c r="R221" s="26"/>
      <c r="S221" s="26"/>
      <c r="T221" s="26"/>
      <c r="U221" s="26"/>
      <c r="V221" s="26"/>
      <c r="W221" s="26"/>
    </row>
    <row r="222" spans="1:23">
      <c r="A222" s="26"/>
      <c r="B222" s="26"/>
      <c r="C222" s="26"/>
      <c r="D222" s="26"/>
      <c r="E222" s="26"/>
      <c r="F222" s="26"/>
      <c r="G222" s="26"/>
      <c r="H222" s="26"/>
      <c r="I222" s="26"/>
      <c r="J222" s="26"/>
      <c r="K222" s="26"/>
      <c r="L222" s="26"/>
      <c r="M222" s="26"/>
      <c r="N222" s="26"/>
      <c r="O222" s="26"/>
      <c r="P222" s="26"/>
      <c r="Q222" s="26"/>
      <c r="R222" s="26"/>
      <c r="S222" s="26"/>
      <c r="T222" s="26"/>
      <c r="U222" s="26"/>
      <c r="V222" s="26"/>
      <c r="W222" s="26"/>
    </row>
    <row r="223" spans="1:23">
      <c r="A223" s="26"/>
      <c r="B223" s="26"/>
      <c r="C223" s="26"/>
      <c r="D223" s="26"/>
      <c r="E223" s="26"/>
      <c r="F223" s="26"/>
      <c r="G223" s="26"/>
      <c r="H223" s="26"/>
      <c r="I223" s="26"/>
      <c r="J223" s="26"/>
      <c r="K223" s="26"/>
      <c r="L223" s="26"/>
      <c r="M223" s="26"/>
      <c r="N223" s="26"/>
      <c r="O223" s="26"/>
      <c r="P223" s="26"/>
      <c r="Q223" s="26"/>
      <c r="R223" s="26"/>
      <c r="S223" s="26"/>
      <c r="T223" s="26"/>
      <c r="U223" s="26"/>
      <c r="V223" s="26"/>
      <c r="W223" s="26"/>
    </row>
    <row r="224" spans="1:23">
      <c r="A224" s="26"/>
      <c r="B224" s="26"/>
      <c r="C224" s="26"/>
      <c r="D224" s="26"/>
      <c r="E224" s="26"/>
      <c r="F224" s="26"/>
      <c r="G224" s="26"/>
      <c r="H224" s="26"/>
      <c r="I224" s="26"/>
      <c r="J224" s="26"/>
      <c r="K224" s="26"/>
      <c r="L224" s="26"/>
      <c r="M224" s="26"/>
      <c r="N224" s="26"/>
      <c r="O224" s="26"/>
      <c r="P224" s="26"/>
      <c r="Q224" s="26"/>
      <c r="R224" s="26"/>
      <c r="S224" s="26"/>
      <c r="T224" s="26"/>
      <c r="U224" s="26"/>
      <c r="V224" s="26"/>
      <c r="W224" s="26"/>
    </row>
    <row r="225" spans="1:23">
      <c r="A225" s="26"/>
      <c r="B225" s="26"/>
      <c r="C225" s="26"/>
      <c r="D225" s="26"/>
      <c r="E225" s="26"/>
      <c r="F225" s="26"/>
      <c r="G225" s="26"/>
      <c r="H225" s="26"/>
      <c r="I225" s="26"/>
      <c r="J225" s="26"/>
      <c r="K225" s="26"/>
      <c r="L225" s="26"/>
      <c r="M225" s="26"/>
      <c r="N225" s="26"/>
      <c r="O225" s="26"/>
      <c r="P225" s="26"/>
      <c r="Q225" s="26"/>
      <c r="R225" s="26"/>
      <c r="S225" s="26"/>
      <c r="T225" s="26"/>
      <c r="U225" s="26"/>
      <c r="V225" s="26"/>
      <c r="W225" s="26"/>
    </row>
    <row r="226" spans="1:23">
      <c r="A226" s="26"/>
      <c r="B226" s="26"/>
      <c r="C226" s="26"/>
      <c r="D226" s="26"/>
      <c r="E226" s="26"/>
      <c r="F226" s="26"/>
      <c r="G226" s="26"/>
      <c r="H226" s="26"/>
      <c r="I226" s="26"/>
      <c r="J226" s="26"/>
      <c r="K226" s="26"/>
      <c r="L226" s="26"/>
      <c r="M226" s="26"/>
      <c r="N226" s="26"/>
      <c r="O226" s="26"/>
      <c r="P226" s="26"/>
      <c r="Q226" s="26"/>
      <c r="R226" s="26"/>
      <c r="S226" s="26"/>
      <c r="T226" s="26"/>
      <c r="U226" s="26"/>
      <c r="V226" s="26"/>
      <c r="W226" s="26"/>
    </row>
    <row r="227" spans="1:23">
      <c r="A227" s="26"/>
      <c r="B227" s="26"/>
      <c r="C227" s="26"/>
      <c r="D227" s="26"/>
      <c r="E227" s="26"/>
      <c r="F227" s="26"/>
      <c r="G227" s="26"/>
      <c r="H227" s="26"/>
      <c r="I227" s="26"/>
      <c r="J227" s="26"/>
      <c r="K227" s="26"/>
      <c r="L227" s="26"/>
      <c r="M227" s="26"/>
      <c r="N227" s="26"/>
      <c r="O227" s="26"/>
      <c r="P227" s="26"/>
      <c r="Q227" s="26"/>
      <c r="R227" s="26"/>
      <c r="S227" s="26"/>
      <c r="T227" s="26"/>
      <c r="U227" s="26"/>
      <c r="V227" s="26"/>
      <c r="W227" s="26"/>
    </row>
    <row r="228" spans="1:23">
      <c r="A228" s="26"/>
      <c r="B228" s="26"/>
      <c r="C228" s="26"/>
      <c r="D228" s="26"/>
      <c r="E228" s="26"/>
      <c r="F228" s="26"/>
      <c r="G228" s="26"/>
      <c r="H228" s="26"/>
      <c r="I228" s="26"/>
      <c r="J228" s="26"/>
      <c r="K228" s="26"/>
      <c r="L228" s="26"/>
      <c r="M228" s="26"/>
      <c r="N228" s="26"/>
      <c r="O228" s="26"/>
      <c r="P228" s="26"/>
      <c r="Q228" s="26"/>
      <c r="R228" s="26"/>
      <c r="S228" s="26"/>
      <c r="T228" s="26"/>
      <c r="U228" s="26"/>
      <c r="V228" s="26"/>
      <c r="W228" s="26"/>
    </row>
    <row r="229" spans="1:23">
      <c r="A229" s="26"/>
      <c r="B229" s="26"/>
      <c r="C229" s="26"/>
      <c r="D229" s="26"/>
      <c r="E229" s="26"/>
      <c r="F229" s="26"/>
      <c r="G229" s="26"/>
      <c r="H229" s="26"/>
      <c r="I229" s="26"/>
      <c r="J229" s="26"/>
      <c r="K229" s="26"/>
      <c r="L229" s="26"/>
      <c r="M229" s="26"/>
      <c r="N229" s="26"/>
      <c r="O229" s="26"/>
      <c r="P229" s="26"/>
      <c r="Q229" s="26"/>
      <c r="R229" s="26"/>
      <c r="S229" s="26"/>
      <c r="T229" s="26"/>
      <c r="U229" s="26"/>
      <c r="V229" s="26"/>
      <c r="W229" s="26"/>
    </row>
    <row r="230" spans="1:23">
      <c r="A230" s="26"/>
      <c r="B230" s="26"/>
      <c r="C230" s="26"/>
      <c r="D230" s="26"/>
      <c r="E230" s="26"/>
      <c r="F230" s="26"/>
      <c r="G230" s="26"/>
      <c r="H230" s="26"/>
      <c r="I230" s="26"/>
      <c r="J230" s="26"/>
      <c r="K230" s="26"/>
      <c r="L230" s="26"/>
      <c r="M230" s="26"/>
      <c r="N230" s="26"/>
      <c r="O230" s="26"/>
      <c r="P230" s="26"/>
      <c r="Q230" s="26"/>
      <c r="R230" s="26"/>
      <c r="S230" s="26"/>
      <c r="T230" s="26"/>
      <c r="U230" s="26"/>
      <c r="V230" s="26"/>
      <c r="W230" s="26"/>
    </row>
    <row r="231" spans="1:23">
      <c r="A231" s="26"/>
      <c r="B231" s="26"/>
      <c r="C231" s="26"/>
      <c r="D231" s="26"/>
      <c r="E231" s="26"/>
      <c r="F231" s="26"/>
      <c r="G231" s="26"/>
      <c r="H231" s="26"/>
      <c r="I231" s="26"/>
      <c r="J231" s="26"/>
      <c r="K231" s="26"/>
      <c r="L231" s="26"/>
      <c r="M231" s="26"/>
      <c r="N231" s="26"/>
      <c r="O231" s="26"/>
      <c r="P231" s="26"/>
      <c r="Q231" s="26"/>
      <c r="R231" s="26"/>
      <c r="S231" s="26"/>
      <c r="T231" s="26"/>
      <c r="U231" s="26"/>
      <c r="V231" s="26"/>
      <c r="W231" s="26"/>
    </row>
    <row r="232" spans="1:23">
      <c r="A232" s="26"/>
      <c r="B232" s="26"/>
      <c r="C232" s="26"/>
      <c r="D232" s="26"/>
      <c r="E232" s="26"/>
      <c r="F232" s="26"/>
      <c r="G232" s="26"/>
      <c r="H232" s="26"/>
      <c r="I232" s="26"/>
      <c r="J232" s="26"/>
      <c r="K232" s="26"/>
      <c r="L232" s="26"/>
      <c r="M232" s="26"/>
      <c r="N232" s="26"/>
      <c r="O232" s="26"/>
      <c r="P232" s="26"/>
      <c r="Q232" s="26"/>
      <c r="R232" s="26"/>
      <c r="S232" s="26"/>
      <c r="T232" s="26"/>
      <c r="U232" s="26"/>
      <c r="V232" s="26"/>
      <c r="W232" s="26"/>
    </row>
    <row r="233" spans="1:23">
      <c r="A233" s="26"/>
      <c r="B233" s="26"/>
      <c r="C233" s="26"/>
      <c r="D233" s="26"/>
      <c r="E233" s="26"/>
      <c r="F233" s="26"/>
      <c r="G233" s="26"/>
      <c r="H233" s="26"/>
      <c r="I233" s="26"/>
      <c r="J233" s="26"/>
      <c r="K233" s="26"/>
      <c r="L233" s="26"/>
      <c r="M233" s="26"/>
      <c r="N233" s="26"/>
      <c r="O233" s="26"/>
      <c r="P233" s="26"/>
      <c r="Q233" s="26"/>
      <c r="R233" s="26"/>
      <c r="S233" s="26"/>
      <c r="T233" s="26"/>
      <c r="U233" s="26"/>
      <c r="V233" s="26"/>
      <c r="W233" s="26"/>
    </row>
    <row r="234" spans="1:23">
      <c r="A234" s="26"/>
      <c r="B234" s="26"/>
      <c r="C234" s="26"/>
      <c r="D234" s="26"/>
      <c r="E234" s="26"/>
      <c r="F234" s="26"/>
      <c r="G234" s="26"/>
      <c r="H234" s="26"/>
      <c r="I234" s="26"/>
      <c r="J234" s="26"/>
      <c r="K234" s="26"/>
      <c r="L234" s="26"/>
      <c r="M234" s="26"/>
      <c r="N234" s="26"/>
      <c r="O234" s="26"/>
      <c r="P234" s="26"/>
      <c r="Q234" s="26"/>
      <c r="R234" s="26"/>
      <c r="S234" s="26"/>
      <c r="T234" s="26"/>
      <c r="U234" s="26"/>
      <c r="V234" s="26"/>
      <c r="W234" s="26"/>
    </row>
    <row r="235" spans="1:23">
      <c r="A235" s="26"/>
      <c r="B235" s="26"/>
      <c r="C235" s="26"/>
      <c r="D235" s="26"/>
      <c r="E235" s="26"/>
      <c r="F235" s="26"/>
      <c r="G235" s="26"/>
      <c r="H235" s="26"/>
      <c r="I235" s="26"/>
      <c r="J235" s="26"/>
      <c r="K235" s="26"/>
      <c r="L235" s="26"/>
      <c r="M235" s="26"/>
      <c r="N235" s="26"/>
      <c r="O235" s="26"/>
      <c r="P235" s="26"/>
      <c r="Q235" s="26"/>
      <c r="R235" s="26"/>
      <c r="S235" s="26"/>
      <c r="T235" s="26"/>
      <c r="U235" s="26"/>
      <c r="V235" s="26"/>
      <c r="W235" s="26"/>
    </row>
    <row r="236" spans="1:23">
      <c r="A236" s="26"/>
      <c r="B236" s="26"/>
      <c r="C236" s="26"/>
      <c r="D236" s="26"/>
      <c r="E236" s="26"/>
      <c r="F236" s="26"/>
      <c r="G236" s="26"/>
      <c r="H236" s="26"/>
      <c r="I236" s="26"/>
      <c r="J236" s="26"/>
      <c r="K236" s="26"/>
      <c r="L236" s="26"/>
      <c r="M236" s="26"/>
      <c r="N236" s="26"/>
      <c r="O236" s="26"/>
      <c r="P236" s="26"/>
      <c r="Q236" s="26"/>
      <c r="R236" s="26"/>
      <c r="S236" s="26"/>
      <c r="T236" s="26"/>
      <c r="U236" s="26"/>
      <c r="V236" s="26"/>
      <c r="W236" s="26"/>
    </row>
    <row r="237" spans="1:23">
      <c r="A237" s="26"/>
      <c r="B237" s="26"/>
      <c r="C237" s="26"/>
      <c r="D237" s="26"/>
      <c r="E237" s="26"/>
      <c r="F237" s="26"/>
      <c r="G237" s="26"/>
      <c r="H237" s="26"/>
      <c r="I237" s="26"/>
      <c r="J237" s="26"/>
      <c r="K237" s="26"/>
      <c r="L237" s="26"/>
      <c r="M237" s="26"/>
      <c r="N237" s="26"/>
      <c r="O237" s="26"/>
      <c r="P237" s="26"/>
      <c r="Q237" s="26"/>
      <c r="R237" s="26"/>
      <c r="S237" s="26"/>
      <c r="T237" s="26"/>
      <c r="U237" s="26"/>
      <c r="V237" s="26"/>
      <c r="W237" s="26"/>
    </row>
    <row r="238" spans="1:23">
      <c r="A238" s="26"/>
      <c r="B238" s="26"/>
      <c r="C238" s="26"/>
      <c r="D238" s="26"/>
      <c r="E238" s="26"/>
      <c r="F238" s="26"/>
      <c r="G238" s="26"/>
      <c r="H238" s="26"/>
      <c r="I238" s="26"/>
      <c r="J238" s="26"/>
      <c r="K238" s="26"/>
      <c r="L238" s="26"/>
      <c r="M238" s="26"/>
      <c r="N238" s="26"/>
      <c r="O238" s="26"/>
      <c r="P238" s="26"/>
      <c r="Q238" s="26"/>
      <c r="R238" s="26"/>
      <c r="S238" s="26"/>
      <c r="T238" s="26"/>
      <c r="U238" s="26"/>
      <c r="V238" s="26"/>
      <c r="W238" s="26"/>
    </row>
    <row r="239" spans="1:23">
      <c r="A239" s="26"/>
      <c r="B239" s="26"/>
      <c r="C239" s="26"/>
      <c r="D239" s="26"/>
      <c r="E239" s="26"/>
      <c r="F239" s="26"/>
      <c r="G239" s="26"/>
      <c r="H239" s="26"/>
      <c r="I239" s="26"/>
      <c r="J239" s="26"/>
      <c r="K239" s="26"/>
      <c r="L239" s="26"/>
      <c r="M239" s="26"/>
      <c r="N239" s="26"/>
      <c r="O239" s="26"/>
      <c r="P239" s="26"/>
      <c r="Q239" s="26"/>
      <c r="R239" s="26"/>
      <c r="S239" s="26"/>
      <c r="T239" s="26"/>
      <c r="U239" s="26"/>
      <c r="V239" s="26"/>
      <c r="W239" s="26"/>
    </row>
    <row r="240" spans="1:23">
      <c r="A240" s="26"/>
      <c r="B240" s="26"/>
      <c r="C240" s="26"/>
      <c r="D240" s="26"/>
      <c r="E240" s="26"/>
      <c r="F240" s="26"/>
      <c r="G240" s="26"/>
      <c r="H240" s="26"/>
      <c r="I240" s="26"/>
      <c r="J240" s="26"/>
      <c r="K240" s="26"/>
      <c r="L240" s="26"/>
      <c r="M240" s="26"/>
      <c r="N240" s="26"/>
      <c r="O240" s="26"/>
      <c r="P240" s="26"/>
      <c r="Q240" s="26"/>
      <c r="R240" s="26"/>
      <c r="S240" s="26"/>
      <c r="T240" s="26"/>
      <c r="U240" s="26"/>
      <c r="V240" s="26"/>
      <c r="W240" s="26"/>
    </row>
    <row r="241" spans="1:23">
      <c r="A241" s="26"/>
      <c r="B241" s="26"/>
      <c r="C241" s="26"/>
      <c r="D241" s="26"/>
      <c r="E241" s="26"/>
      <c r="F241" s="26"/>
      <c r="G241" s="26"/>
      <c r="H241" s="26"/>
      <c r="I241" s="26"/>
      <c r="J241" s="26"/>
      <c r="K241" s="26"/>
      <c r="L241" s="26"/>
      <c r="M241" s="26"/>
      <c r="N241" s="26"/>
      <c r="O241" s="26"/>
      <c r="P241" s="26"/>
      <c r="Q241" s="26"/>
      <c r="R241" s="26"/>
      <c r="S241" s="26"/>
      <c r="T241" s="26"/>
      <c r="U241" s="26"/>
      <c r="V241" s="26"/>
      <c r="W241" s="26"/>
    </row>
    <row r="242" spans="1:23">
      <c r="A242" s="26"/>
      <c r="B242" s="26"/>
      <c r="C242" s="26"/>
      <c r="D242" s="26"/>
      <c r="E242" s="26"/>
      <c r="F242" s="26"/>
      <c r="G242" s="26"/>
      <c r="H242" s="26"/>
      <c r="I242" s="26"/>
      <c r="J242" s="26"/>
      <c r="K242" s="26"/>
      <c r="L242" s="26"/>
      <c r="M242" s="26"/>
      <c r="N242" s="26"/>
      <c r="O242" s="26"/>
      <c r="P242" s="26"/>
      <c r="Q242" s="26"/>
      <c r="R242" s="26"/>
      <c r="S242" s="26"/>
      <c r="T242" s="26"/>
      <c r="U242" s="26"/>
      <c r="V242" s="26"/>
      <c r="W242" s="26"/>
    </row>
    <row r="243" spans="1:23">
      <c r="A243" s="26"/>
      <c r="B243" s="26"/>
      <c r="C243" s="26"/>
      <c r="D243" s="26"/>
      <c r="E243" s="26"/>
      <c r="F243" s="26"/>
      <c r="G243" s="26"/>
      <c r="H243" s="26"/>
      <c r="I243" s="26"/>
      <c r="J243" s="26"/>
      <c r="K243" s="26"/>
      <c r="L243" s="26"/>
      <c r="M243" s="26"/>
      <c r="N243" s="26"/>
      <c r="O243" s="26"/>
      <c r="P243" s="26"/>
      <c r="Q243" s="26"/>
      <c r="R243" s="26"/>
      <c r="S243" s="26"/>
      <c r="T243" s="26"/>
      <c r="U243" s="26"/>
      <c r="V243" s="26"/>
      <c r="W243" s="26"/>
    </row>
    <row r="244" spans="1:23">
      <c r="A244" s="26"/>
      <c r="B244" s="26"/>
      <c r="C244" s="26"/>
      <c r="D244" s="26"/>
      <c r="E244" s="26"/>
      <c r="F244" s="26"/>
      <c r="G244" s="26"/>
      <c r="H244" s="26"/>
      <c r="I244" s="26"/>
      <c r="J244" s="26"/>
      <c r="K244" s="26"/>
      <c r="L244" s="26"/>
      <c r="M244" s="26"/>
      <c r="N244" s="26"/>
      <c r="O244" s="26"/>
      <c r="P244" s="26"/>
      <c r="Q244" s="26"/>
      <c r="R244" s="26"/>
      <c r="S244" s="26"/>
      <c r="T244" s="26"/>
      <c r="U244" s="26"/>
      <c r="V244" s="26"/>
      <c r="W244" s="26"/>
    </row>
    <row r="245" spans="1:23">
      <c r="A245" s="26"/>
      <c r="B245" s="26"/>
      <c r="C245" s="26"/>
      <c r="D245" s="26"/>
      <c r="E245" s="26"/>
      <c r="F245" s="26"/>
      <c r="G245" s="26"/>
      <c r="H245" s="26"/>
      <c r="I245" s="26"/>
      <c r="J245" s="26"/>
      <c r="K245" s="26"/>
      <c r="L245" s="26"/>
      <c r="M245" s="26"/>
      <c r="N245" s="26"/>
      <c r="O245" s="26"/>
      <c r="P245" s="26"/>
      <c r="Q245" s="26"/>
      <c r="R245" s="26"/>
      <c r="S245" s="26"/>
      <c r="T245" s="26"/>
      <c r="U245" s="26"/>
      <c r="V245" s="26"/>
      <c r="W245" s="26"/>
    </row>
    <row r="246" spans="1:23">
      <c r="A246" s="26"/>
      <c r="B246" s="26"/>
      <c r="C246" s="26"/>
      <c r="D246" s="26"/>
      <c r="E246" s="26"/>
      <c r="F246" s="26"/>
      <c r="G246" s="26"/>
      <c r="H246" s="26"/>
      <c r="I246" s="26"/>
      <c r="J246" s="26"/>
      <c r="K246" s="26"/>
      <c r="L246" s="26"/>
      <c r="M246" s="26"/>
      <c r="N246" s="26"/>
      <c r="O246" s="26"/>
      <c r="P246" s="26"/>
      <c r="Q246" s="26"/>
      <c r="R246" s="26"/>
      <c r="S246" s="26"/>
      <c r="T246" s="26"/>
      <c r="U246" s="26"/>
      <c r="V246" s="26"/>
      <c r="W246" s="26"/>
    </row>
    <row r="247" spans="1:23">
      <c r="A247" s="26"/>
      <c r="B247" s="26"/>
      <c r="C247" s="26"/>
      <c r="D247" s="26"/>
      <c r="E247" s="26"/>
      <c r="F247" s="26"/>
      <c r="G247" s="26"/>
      <c r="H247" s="26"/>
      <c r="I247" s="26"/>
      <c r="J247" s="26"/>
      <c r="K247" s="26"/>
      <c r="L247" s="26"/>
      <c r="M247" s="26"/>
      <c r="N247" s="26"/>
      <c r="O247" s="26"/>
      <c r="P247" s="26"/>
      <c r="Q247" s="26"/>
      <c r="R247" s="26"/>
      <c r="S247" s="26"/>
      <c r="T247" s="26"/>
      <c r="U247" s="26"/>
      <c r="V247" s="26"/>
      <c r="W247" s="26"/>
    </row>
    <row r="248" spans="1:23">
      <c r="A248" s="26"/>
      <c r="B248" s="26"/>
      <c r="C248" s="26"/>
      <c r="D248" s="26"/>
      <c r="E248" s="26"/>
      <c r="F248" s="26"/>
      <c r="G248" s="26"/>
      <c r="H248" s="26"/>
      <c r="I248" s="26"/>
      <c r="J248" s="26"/>
      <c r="K248" s="26"/>
      <c r="L248" s="26"/>
      <c r="M248" s="26"/>
      <c r="N248" s="26"/>
      <c r="O248" s="26"/>
      <c r="P248" s="26"/>
      <c r="Q248" s="26"/>
      <c r="R248" s="26"/>
      <c r="S248" s="26"/>
      <c r="T248" s="26"/>
      <c r="U248" s="26"/>
      <c r="V248" s="26"/>
      <c r="W248" s="26"/>
    </row>
    <row r="249" spans="1:23">
      <c r="A249" s="26"/>
      <c r="B249" s="26"/>
      <c r="C249" s="26"/>
      <c r="D249" s="26"/>
      <c r="E249" s="26"/>
      <c r="F249" s="26"/>
      <c r="G249" s="26"/>
      <c r="H249" s="26"/>
      <c r="I249" s="26"/>
      <c r="J249" s="26"/>
      <c r="K249" s="26"/>
      <c r="L249" s="26"/>
      <c r="M249" s="26"/>
      <c r="N249" s="26"/>
      <c r="O249" s="26"/>
      <c r="P249" s="26"/>
      <c r="Q249" s="26"/>
      <c r="R249" s="26"/>
      <c r="S249" s="26"/>
      <c r="T249" s="26"/>
      <c r="U249" s="26"/>
      <c r="V249" s="26"/>
      <c r="W249" s="26"/>
    </row>
    <row r="250" spans="1:23">
      <c r="A250" s="26"/>
      <c r="B250" s="26"/>
      <c r="C250" s="26"/>
      <c r="D250" s="26"/>
      <c r="E250" s="26"/>
      <c r="F250" s="26"/>
      <c r="G250" s="26"/>
      <c r="H250" s="26"/>
      <c r="I250" s="26"/>
      <c r="J250" s="26"/>
      <c r="K250" s="26"/>
      <c r="L250" s="26"/>
      <c r="M250" s="26"/>
      <c r="N250" s="26"/>
      <c r="O250" s="26"/>
      <c r="P250" s="26"/>
      <c r="Q250" s="26"/>
      <c r="R250" s="26"/>
      <c r="S250" s="26"/>
      <c r="T250" s="26"/>
      <c r="U250" s="26"/>
      <c r="V250" s="26"/>
      <c r="W250" s="26"/>
    </row>
    <row r="251" spans="1:23">
      <c r="A251" s="26"/>
      <c r="B251" s="26"/>
      <c r="C251" s="26"/>
      <c r="D251" s="26"/>
      <c r="E251" s="26"/>
      <c r="F251" s="26"/>
      <c r="G251" s="26"/>
      <c r="H251" s="26"/>
      <c r="I251" s="26"/>
      <c r="J251" s="26"/>
      <c r="K251" s="26"/>
      <c r="L251" s="26"/>
      <c r="M251" s="26"/>
      <c r="N251" s="26"/>
      <c r="O251" s="26"/>
      <c r="P251" s="26"/>
      <c r="Q251" s="26"/>
      <c r="R251" s="26"/>
      <c r="S251" s="26"/>
      <c r="T251" s="26"/>
      <c r="U251" s="26"/>
      <c r="V251" s="26"/>
      <c r="W251" s="26"/>
    </row>
    <row r="252" spans="1:23">
      <c r="A252" s="26"/>
      <c r="B252" s="26"/>
      <c r="C252" s="26"/>
      <c r="D252" s="26"/>
      <c r="E252" s="26"/>
      <c r="F252" s="26"/>
      <c r="G252" s="26"/>
      <c r="H252" s="26"/>
      <c r="I252" s="26"/>
      <c r="J252" s="26"/>
      <c r="K252" s="26"/>
      <c r="L252" s="26"/>
      <c r="M252" s="26"/>
      <c r="N252" s="26"/>
      <c r="O252" s="26"/>
      <c r="P252" s="26"/>
      <c r="Q252" s="26"/>
      <c r="R252" s="26"/>
      <c r="S252" s="26"/>
      <c r="T252" s="26"/>
      <c r="U252" s="26"/>
      <c r="V252" s="26"/>
      <c r="W252" s="26"/>
    </row>
    <row r="253" spans="1:23">
      <c r="A253" s="26"/>
      <c r="B253" s="26"/>
      <c r="C253" s="26"/>
      <c r="D253" s="26"/>
      <c r="E253" s="26"/>
      <c r="F253" s="26"/>
      <c r="G253" s="26"/>
      <c r="H253" s="26"/>
      <c r="I253" s="26"/>
      <c r="J253" s="26"/>
      <c r="K253" s="26"/>
      <c r="L253" s="26"/>
      <c r="M253" s="26"/>
      <c r="N253" s="26"/>
      <c r="O253" s="26"/>
      <c r="P253" s="26"/>
      <c r="Q253" s="26"/>
      <c r="R253" s="26"/>
      <c r="S253" s="26"/>
      <c r="T253" s="26"/>
      <c r="U253" s="26"/>
      <c r="V253" s="26"/>
      <c r="W253" s="26"/>
    </row>
    <row r="254" spans="1:23">
      <c r="A254" s="26"/>
      <c r="B254" s="26"/>
      <c r="C254" s="26"/>
      <c r="D254" s="26"/>
      <c r="E254" s="26"/>
      <c r="F254" s="26"/>
      <c r="G254" s="26"/>
      <c r="H254" s="26"/>
      <c r="I254" s="26"/>
      <c r="J254" s="26"/>
      <c r="K254" s="26"/>
      <c r="L254" s="26"/>
      <c r="M254" s="26"/>
      <c r="N254" s="26"/>
      <c r="O254" s="26"/>
      <c r="P254" s="26"/>
      <c r="Q254" s="26"/>
      <c r="R254" s="26"/>
      <c r="S254" s="26"/>
      <c r="T254" s="26"/>
      <c r="U254" s="26"/>
      <c r="V254" s="26"/>
      <c r="W254" s="26"/>
    </row>
    <row r="255" spans="1:23">
      <c r="A255" s="26"/>
      <c r="B255" s="26"/>
      <c r="C255" s="26"/>
      <c r="D255" s="26"/>
      <c r="E255" s="26"/>
      <c r="F255" s="26"/>
      <c r="G255" s="26"/>
      <c r="H255" s="26"/>
      <c r="I255" s="26"/>
      <c r="J255" s="26"/>
      <c r="K255" s="26"/>
      <c r="L255" s="26"/>
      <c r="M255" s="26"/>
      <c r="N255" s="26"/>
      <c r="O255" s="26"/>
      <c r="P255" s="26"/>
      <c r="Q255" s="26"/>
      <c r="R255" s="26"/>
      <c r="S255" s="26"/>
      <c r="T255" s="26"/>
      <c r="U255" s="26"/>
      <c r="V255" s="26"/>
      <c r="W255" s="26"/>
    </row>
    <row r="256" spans="1:23">
      <c r="A256" s="26"/>
      <c r="B256" s="26"/>
      <c r="C256" s="26"/>
      <c r="D256" s="26"/>
      <c r="E256" s="26"/>
      <c r="F256" s="26"/>
      <c r="G256" s="26"/>
      <c r="H256" s="26"/>
      <c r="I256" s="26"/>
      <c r="J256" s="26"/>
      <c r="K256" s="26"/>
      <c r="L256" s="26"/>
      <c r="M256" s="26"/>
      <c r="N256" s="26"/>
      <c r="O256" s="26"/>
      <c r="P256" s="26"/>
      <c r="Q256" s="26"/>
      <c r="R256" s="26"/>
      <c r="S256" s="26"/>
      <c r="T256" s="26"/>
      <c r="U256" s="26"/>
      <c r="V256" s="26"/>
      <c r="W256" s="26"/>
    </row>
    <row r="257" spans="1:23">
      <c r="A257" s="26"/>
      <c r="B257" s="26"/>
      <c r="C257" s="26"/>
      <c r="D257" s="26"/>
      <c r="E257" s="26"/>
      <c r="F257" s="26"/>
      <c r="G257" s="26"/>
      <c r="H257" s="26"/>
      <c r="I257" s="26"/>
      <c r="J257" s="26"/>
      <c r="K257" s="26"/>
      <c r="L257" s="26"/>
      <c r="M257" s="26"/>
      <c r="N257" s="26"/>
      <c r="O257" s="26"/>
      <c r="P257" s="26"/>
      <c r="Q257" s="26"/>
      <c r="R257" s="26"/>
      <c r="S257" s="26"/>
      <c r="T257" s="26"/>
      <c r="U257" s="26"/>
      <c r="V257" s="26"/>
      <c r="W257" s="26"/>
    </row>
    <row r="258" spans="1:23">
      <c r="A258" s="26"/>
      <c r="B258" s="26"/>
      <c r="C258" s="26"/>
      <c r="D258" s="26"/>
      <c r="E258" s="26"/>
      <c r="F258" s="26"/>
      <c r="G258" s="26"/>
      <c r="H258" s="26"/>
      <c r="I258" s="26"/>
      <c r="J258" s="26"/>
      <c r="K258" s="26"/>
      <c r="L258" s="26"/>
      <c r="M258" s="26"/>
      <c r="N258" s="26"/>
      <c r="O258" s="26"/>
      <c r="P258" s="26"/>
      <c r="Q258" s="26"/>
      <c r="R258" s="26"/>
      <c r="S258" s="26"/>
      <c r="T258" s="26"/>
      <c r="U258" s="26"/>
      <c r="V258" s="26"/>
      <c r="W258" s="26"/>
    </row>
    <row r="259" spans="1:23">
      <c r="A259" s="26"/>
      <c r="B259" s="26"/>
      <c r="C259" s="26"/>
      <c r="D259" s="26"/>
      <c r="E259" s="26"/>
      <c r="F259" s="26"/>
      <c r="G259" s="26"/>
      <c r="H259" s="26"/>
      <c r="I259" s="26"/>
      <c r="J259" s="26"/>
      <c r="K259" s="26"/>
      <c r="L259" s="26"/>
      <c r="M259" s="26"/>
      <c r="N259" s="26"/>
      <c r="O259" s="26"/>
      <c r="P259" s="26"/>
      <c r="Q259" s="26"/>
      <c r="R259" s="26"/>
      <c r="S259" s="26"/>
      <c r="T259" s="26"/>
      <c r="U259" s="26"/>
      <c r="V259" s="26"/>
      <c r="W259" s="26"/>
    </row>
    <row r="260" spans="1:23">
      <c r="A260" s="26"/>
      <c r="B260" s="26"/>
      <c r="C260" s="26"/>
      <c r="D260" s="26"/>
      <c r="E260" s="26"/>
      <c r="F260" s="26"/>
      <c r="G260" s="26"/>
      <c r="H260" s="26"/>
      <c r="I260" s="26"/>
      <c r="J260" s="26"/>
      <c r="K260" s="26"/>
      <c r="L260" s="26"/>
      <c r="M260" s="26"/>
      <c r="N260" s="26"/>
      <c r="O260" s="26"/>
      <c r="P260" s="26"/>
      <c r="Q260" s="26"/>
      <c r="R260" s="26"/>
      <c r="S260" s="26"/>
      <c r="T260" s="26"/>
      <c r="U260" s="26"/>
      <c r="V260" s="26"/>
      <c r="W260" s="26"/>
    </row>
    <row r="261" spans="1:23">
      <c r="A261" s="26"/>
      <c r="B261" s="26"/>
      <c r="C261" s="26"/>
      <c r="D261" s="26"/>
      <c r="E261" s="26"/>
      <c r="F261" s="26"/>
      <c r="G261" s="26"/>
      <c r="H261" s="26"/>
      <c r="I261" s="26"/>
      <c r="J261" s="26"/>
      <c r="K261" s="26"/>
      <c r="L261" s="26"/>
      <c r="M261" s="26"/>
      <c r="N261" s="26"/>
      <c r="O261" s="26"/>
      <c r="P261" s="26"/>
      <c r="Q261" s="26"/>
      <c r="R261" s="26"/>
      <c r="S261" s="26"/>
      <c r="T261" s="26"/>
      <c r="U261" s="26"/>
      <c r="V261" s="26"/>
      <c r="W261" s="26"/>
    </row>
    <row r="262" spans="1:23">
      <c r="A262" s="26"/>
      <c r="B262" s="26"/>
      <c r="C262" s="26"/>
      <c r="D262" s="26"/>
      <c r="E262" s="26"/>
      <c r="F262" s="26"/>
      <c r="G262" s="26"/>
      <c r="H262" s="26"/>
      <c r="I262" s="26"/>
      <c r="J262" s="26"/>
      <c r="K262" s="26"/>
      <c r="L262" s="26"/>
      <c r="M262" s="26"/>
      <c r="N262" s="26"/>
      <c r="O262" s="26"/>
      <c r="P262" s="26"/>
      <c r="Q262" s="26"/>
      <c r="R262" s="26"/>
      <c r="S262" s="26"/>
      <c r="T262" s="26"/>
      <c r="U262" s="26"/>
      <c r="V262" s="26"/>
      <c r="W262" s="26"/>
    </row>
    <row r="263" spans="1:23">
      <c r="A263" s="26"/>
      <c r="B263" s="26"/>
      <c r="C263" s="26"/>
      <c r="D263" s="26"/>
      <c r="E263" s="26"/>
      <c r="F263" s="26"/>
      <c r="G263" s="26"/>
      <c r="H263" s="26"/>
      <c r="I263" s="26"/>
      <c r="J263" s="26"/>
      <c r="K263" s="26"/>
      <c r="L263" s="26"/>
      <c r="M263" s="26"/>
      <c r="N263" s="26"/>
      <c r="O263" s="26"/>
      <c r="P263" s="26"/>
      <c r="Q263" s="26"/>
      <c r="R263" s="26"/>
      <c r="S263" s="26"/>
      <c r="T263" s="26"/>
      <c r="U263" s="26"/>
      <c r="V263" s="26"/>
      <c r="W263" s="26"/>
    </row>
    <row r="264" spans="1:23">
      <c r="A264" s="26"/>
      <c r="B264" s="26"/>
      <c r="C264" s="26"/>
      <c r="D264" s="26"/>
      <c r="E264" s="26"/>
      <c r="F264" s="26"/>
      <c r="G264" s="26"/>
      <c r="H264" s="26"/>
      <c r="I264" s="26"/>
      <c r="J264" s="26"/>
      <c r="K264" s="26"/>
      <c r="L264" s="26"/>
      <c r="M264" s="26"/>
      <c r="N264" s="26"/>
      <c r="O264" s="26"/>
      <c r="P264" s="26"/>
      <c r="Q264" s="26"/>
      <c r="R264" s="26"/>
      <c r="S264" s="26"/>
      <c r="T264" s="26"/>
      <c r="U264" s="26"/>
      <c r="V264" s="26"/>
      <c r="W264" s="26"/>
    </row>
    <row r="265" spans="1:23">
      <c r="A265" s="26"/>
      <c r="B265" s="26"/>
      <c r="C265" s="26"/>
      <c r="D265" s="26"/>
      <c r="E265" s="26"/>
      <c r="F265" s="26"/>
      <c r="G265" s="26"/>
      <c r="H265" s="26"/>
      <c r="I265" s="26"/>
      <c r="J265" s="26"/>
      <c r="K265" s="26"/>
      <c r="L265" s="26"/>
      <c r="M265" s="26"/>
      <c r="N265" s="26"/>
      <c r="O265" s="26"/>
      <c r="P265" s="26"/>
      <c r="Q265" s="26"/>
      <c r="R265" s="26"/>
      <c r="S265" s="26"/>
      <c r="T265" s="26"/>
      <c r="U265" s="26"/>
      <c r="V265" s="26"/>
      <c r="W265" s="26"/>
    </row>
    <row r="266" spans="1:23">
      <c r="A266" s="26"/>
      <c r="B266" s="26"/>
      <c r="C266" s="26"/>
      <c r="D266" s="26"/>
      <c r="E266" s="26"/>
      <c r="F266" s="26"/>
      <c r="G266" s="26"/>
      <c r="H266" s="26"/>
      <c r="I266" s="26"/>
      <c r="J266" s="26"/>
      <c r="K266" s="26"/>
      <c r="L266" s="26"/>
      <c r="M266" s="26"/>
      <c r="N266" s="26"/>
      <c r="O266" s="26"/>
      <c r="P266" s="26"/>
      <c r="Q266" s="26"/>
      <c r="R266" s="26"/>
      <c r="S266" s="26"/>
      <c r="T266" s="26"/>
      <c r="U266" s="26"/>
      <c r="V266" s="26"/>
      <c r="W266" s="26"/>
    </row>
    <row r="267" spans="1:23">
      <c r="A267" s="26"/>
      <c r="B267" s="26"/>
      <c r="C267" s="26"/>
      <c r="D267" s="26"/>
      <c r="E267" s="26"/>
      <c r="F267" s="26"/>
      <c r="G267" s="26"/>
      <c r="H267" s="26"/>
      <c r="I267" s="26"/>
      <c r="J267" s="26"/>
      <c r="K267" s="26"/>
      <c r="L267" s="26"/>
      <c r="M267" s="26"/>
      <c r="N267" s="26"/>
      <c r="O267" s="26"/>
      <c r="P267" s="26"/>
      <c r="Q267" s="26"/>
      <c r="R267" s="26"/>
      <c r="S267" s="26"/>
      <c r="T267" s="26"/>
      <c r="U267" s="26"/>
      <c r="V267" s="26"/>
      <c r="W267" s="26"/>
    </row>
    <row r="268" spans="1:23">
      <c r="A268" s="26"/>
      <c r="B268" s="26"/>
      <c r="C268" s="26"/>
      <c r="D268" s="26"/>
      <c r="E268" s="26"/>
      <c r="F268" s="26"/>
      <c r="G268" s="26"/>
      <c r="H268" s="26"/>
      <c r="I268" s="26"/>
      <c r="J268" s="26"/>
      <c r="K268" s="26"/>
      <c r="L268" s="26"/>
      <c r="M268" s="26"/>
      <c r="N268" s="26"/>
      <c r="O268" s="26"/>
      <c r="P268" s="26"/>
      <c r="Q268" s="26"/>
      <c r="R268" s="26"/>
      <c r="S268" s="26"/>
      <c r="T268" s="26"/>
      <c r="U268" s="26"/>
      <c r="V268" s="26"/>
      <c r="W268" s="26"/>
    </row>
    <row r="269" spans="1:23">
      <c r="A269" s="26"/>
      <c r="B269" s="26"/>
      <c r="C269" s="26"/>
      <c r="D269" s="26"/>
      <c r="E269" s="26"/>
      <c r="F269" s="26"/>
      <c r="G269" s="26"/>
      <c r="H269" s="26"/>
      <c r="I269" s="26"/>
      <c r="J269" s="26"/>
      <c r="K269" s="26"/>
      <c r="L269" s="26"/>
      <c r="M269" s="26"/>
      <c r="N269" s="26"/>
      <c r="O269" s="26"/>
      <c r="P269" s="26"/>
      <c r="Q269" s="26"/>
      <c r="R269" s="26"/>
      <c r="S269" s="26"/>
      <c r="T269" s="26"/>
      <c r="U269" s="26"/>
      <c r="V269" s="26"/>
      <c r="W269" s="26"/>
    </row>
    <row r="270" spans="1:23">
      <c r="A270" s="26"/>
      <c r="B270" s="26"/>
      <c r="C270" s="26"/>
      <c r="D270" s="26"/>
      <c r="E270" s="26"/>
      <c r="F270" s="26"/>
      <c r="G270" s="26"/>
      <c r="H270" s="26"/>
      <c r="I270" s="26"/>
      <c r="J270" s="26"/>
      <c r="K270" s="26"/>
      <c r="L270" s="26"/>
      <c r="M270" s="26"/>
      <c r="N270" s="26"/>
      <c r="O270" s="26"/>
      <c r="P270" s="26"/>
      <c r="Q270" s="26"/>
      <c r="R270" s="26"/>
      <c r="S270" s="26"/>
      <c r="T270" s="26"/>
      <c r="U270" s="26"/>
      <c r="V270" s="26"/>
      <c r="W270" s="26"/>
    </row>
    <row r="271" spans="1:23">
      <c r="A271" s="26"/>
      <c r="B271" s="26"/>
      <c r="C271" s="26"/>
      <c r="D271" s="26"/>
      <c r="E271" s="26"/>
      <c r="F271" s="26"/>
      <c r="G271" s="26"/>
      <c r="H271" s="26"/>
      <c r="I271" s="26"/>
      <c r="J271" s="26"/>
      <c r="K271" s="26"/>
      <c r="L271" s="26"/>
      <c r="M271" s="26"/>
      <c r="N271" s="26"/>
      <c r="O271" s="26"/>
      <c r="P271" s="26"/>
      <c r="Q271" s="26"/>
      <c r="R271" s="26"/>
      <c r="S271" s="26"/>
      <c r="T271" s="26"/>
      <c r="U271" s="26"/>
      <c r="V271" s="26"/>
      <c r="W271" s="26"/>
    </row>
    <row r="272" spans="1:23">
      <c r="A272" s="26"/>
      <c r="B272" s="26"/>
      <c r="C272" s="26"/>
      <c r="D272" s="26"/>
      <c r="E272" s="26"/>
      <c r="F272" s="26"/>
      <c r="G272" s="26"/>
      <c r="H272" s="26"/>
      <c r="I272" s="26"/>
      <c r="J272" s="26"/>
      <c r="K272" s="26"/>
      <c r="L272" s="26"/>
      <c r="M272" s="26"/>
      <c r="N272" s="26"/>
      <c r="O272" s="26"/>
      <c r="P272" s="26"/>
      <c r="Q272" s="26"/>
      <c r="R272" s="26"/>
      <c r="S272" s="26"/>
      <c r="T272" s="26"/>
      <c r="U272" s="26"/>
      <c r="V272" s="26"/>
      <c r="W272" s="26"/>
    </row>
    <row r="273" spans="1:23">
      <c r="A273" s="26"/>
      <c r="B273" s="26"/>
      <c r="C273" s="26"/>
      <c r="D273" s="26"/>
      <c r="E273" s="26"/>
      <c r="F273" s="26"/>
      <c r="G273" s="26"/>
      <c r="H273" s="26"/>
      <c r="I273" s="26"/>
      <c r="J273" s="26"/>
      <c r="K273" s="26"/>
      <c r="L273" s="26"/>
      <c r="M273" s="26"/>
      <c r="N273" s="26"/>
      <c r="O273" s="26"/>
      <c r="P273" s="26"/>
      <c r="Q273" s="26"/>
      <c r="R273" s="26"/>
      <c r="S273" s="26"/>
      <c r="T273" s="26"/>
      <c r="U273" s="26"/>
      <c r="V273" s="26"/>
      <c r="W273" s="26"/>
    </row>
    <row r="274" spans="1:23">
      <c r="A274" s="26"/>
      <c r="B274" s="26"/>
      <c r="C274" s="26"/>
      <c r="D274" s="26"/>
      <c r="E274" s="26"/>
      <c r="F274" s="26"/>
      <c r="G274" s="26"/>
      <c r="H274" s="26"/>
      <c r="I274" s="26"/>
      <c r="J274" s="26"/>
      <c r="K274" s="26"/>
      <c r="L274" s="26"/>
      <c r="M274" s="26"/>
      <c r="N274" s="26"/>
      <c r="O274" s="26"/>
      <c r="P274" s="26"/>
      <c r="Q274" s="26"/>
      <c r="R274" s="26"/>
      <c r="S274" s="26"/>
      <c r="T274" s="26"/>
      <c r="U274" s="26"/>
      <c r="V274" s="26"/>
      <c r="W274" s="26"/>
    </row>
    <row r="275" spans="1:23">
      <c r="A275" s="26"/>
      <c r="B275" s="26"/>
      <c r="C275" s="26"/>
      <c r="D275" s="26"/>
      <c r="E275" s="26"/>
      <c r="F275" s="26"/>
      <c r="G275" s="26"/>
      <c r="H275" s="26"/>
      <c r="I275" s="26"/>
      <c r="J275" s="26"/>
      <c r="K275" s="26"/>
      <c r="L275" s="26"/>
      <c r="M275" s="26"/>
      <c r="N275" s="26"/>
      <c r="O275" s="26"/>
      <c r="P275" s="26"/>
      <c r="Q275" s="26"/>
      <c r="R275" s="26"/>
      <c r="S275" s="26"/>
      <c r="T275" s="26"/>
      <c r="U275" s="26"/>
      <c r="V275" s="26"/>
      <c r="W275" s="26"/>
    </row>
    <row r="276" spans="1:23">
      <c r="A276" s="26"/>
      <c r="B276" s="26"/>
      <c r="C276" s="26"/>
      <c r="D276" s="26"/>
      <c r="E276" s="26"/>
      <c r="F276" s="26"/>
      <c r="G276" s="26"/>
      <c r="H276" s="26"/>
      <c r="I276" s="26"/>
      <c r="J276" s="26"/>
      <c r="K276" s="26"/>
      <c r="L276" s="26"/>
      <c r="M276" s="26"/>
      <c r="N276" s="26"/>
      <c r="O276" s="26"/>
      <c r="P276" s="26"/>
      <c r="Q276" s="26"/>
      <c r="R276" s="26"/>
      <c r="S276" s="26"/>
      <c r="T276" s="26"/>
      <c r="U276" s="26"/>
      <c r="V276" s="26"/>
      <c r="W276" s="26"/>
    </row>
    <row r="277" spans="1:23">
      <c r="A277" s="26"/>
      <c r="B277" s="26"/>
      <c r="C277" s="26"/>
      <c r="D277" s="26"/>
      <c r="E277" s="26"/>
      <c r="F277" s="26"/>
      <c r="G277" s="26"/>
      <c r="H277" s="26"/>
      <c r="I277" s="26"/>
      <c r="J277" s="26"/>
      <c r="K277" s="26"/>
      <c r="L277" s="26"/>
      <c r="M277" s="26"/>
      <c r="N277" s="26"/>
      <c r="O277" s="26"/>
      <c r="P277" s="26"/>
      <c r="Q277" s="26"/>
      <c r="R277" s="26"/>
      <c r="S277" s="26"/>
      <c r="T277" s="26"/>
      <c r="U277" s="26"/>
      <c r="V277" s="26"/>
      <c r="W277" s="26"/>
    </row>
    <row r="278" spans="1:23">
      <c r="A278" s="26"/>
      <c r="B278" s="26"/>
      <c r="C278" s="26"/>
      <c r="D278" s="26"/>
      <c r="E278" s="26"/>
      <c r="F278" s="26"/>
      <c r="G278" s="26"/>
      <c r="H278" s="26"/>
      <c r="I278" s="26"/>
      <c r="J278" s="26"/>
      <c r="K278" s="26"/>
      <c r="L278" s="26"/>
      <c r="M278" s="26"/>
      <c r="N278" s="26"/>
      <c r="O278" s="26"/>
      <c r="P278" s="26"/>
      <c r="Q278" s="26"/>
      <c r="R278" s="26"/>
      <c r="S278" s="26"/>
      <c r="T278" s="26"/>
      <c r="U278" s="26"/>
      <c r="V278" s="26"/>
      <c r="W278" s="26"/>
    </row>
    <row r="279" spans="1:23">
      <c r="A279" s="26"/>
      <c r="B279" s="26"/>
      <c r="C279" s="26"/>
      <c r="D279" s="26"/>
      <c r="E279" s="26"/>
      <c r="F279" s="26"/>
      <c r="G279" s="26"/>
      <c r="H279" s="26"/>
      <c r="I279" s="26"/>
      <c r="J279" s="26"/>
      <c r="K279" s="26"/>
      <c r="L279" s="26"/>
      <c r="M279" s="26"/>
      <c r="N279" s="26"/>
      <c r="O279" s="26"/>
      <c r="P279" s="26"/>
      <c r="Q279" s="26"/>
      <c r="R279" s="26"/>
      <c r="S279" s="26"/>
      <c r="T279" s="26"/>
      <c r="U279" s="26"/>
      <c r="V279" s="26"/>
      <c r="W279" s="26"/>
    </row>
    <row r="280" spans="1:23">
      <c r="A280" s="26"/>
      <c r="B280" s="26"/>
      <c r="C280" s="26"/>
      <c r="D280" s="26"/>
      <c r="E280" s="26"/>
      <c r="F280" s="26"/>
      <c r="G280" s="26"/>
      <c r="H280" s="26"/>
      <c r="I280" s="26"/>
      <c r="J280" s="26"/>
      <c r="K280" s="26"/>
      <c r="L280" s="26"/>
      <c r="M280" s="26"/>
      <c r="N280" s="26"/>
      <c r="O280" s="26"/>
      <c r="P280" s="26"/>
      <c r="Q280" s="26"/>
      <c r="R280" s="26"/>
      <c r="S280" s="26"/>
      <c r="T280" s="26"/>
      <c r="U280" s="26"/>
      <c r="V280" s="26"/>
      <c r="W280" s="26"/>
    </row>
    <row r="281" spans="1:23">
      <c r="A281" s="26"/>
      <c r="B281" s="26"/>
      <c r="C281" s="26"/>
      <c r="D281" s="26"/>
      <c r="E281" s="26"/>
      <c r="F281" s="26"/>
      <c r="G281" s="26"/>
      <c r="H281" s="26"/>
      <c r="I281" s="26"/>
      <c r="J281" s="26"/>
      <c r="K281" s="26"/>
      <c r="L281" s="26"/>
      <c r="M281" s="26"/>
      <c r="N281" s="26"/>
      <c r="O281" s="26"/>
      <c r="P281" s="26"/>
      <c r="Q281" s="26"/>
      <c r="R281" s="26"/>
      <c r="S281" s="26"/>
      <c r="T281" s="26"/>
      <c r="U281" s="26"/>
      <c r="V281" s="26"/>
      <c r="W281" s="26"/>
    </row>
    <row r="282" spans="1:23">
      <c r="A282" s="26"/>
      <c r="B282" s="26"/>
      <c r="C282" s="26"/>
      <c r="D282" s="26"/>
      <c r="E282" s="26"/>
      <c r="F282" s="26"/>
      <c r="G282" s="26"/>
      <c r="H282" s="26"/>
      <c r="I282" s="26"/>
      <c r="J282" s="26"/>
      <c r="K282" s="26"/>
      <c r="L282" s="26"/>
      <c r="M282" s="26"/>
      <c r="N282" s="26"/>
      <c r="O282" s="26"/>
      <c r="P282" s="26"/>
      <c r="Q282" s="26"/>
      <c r="R282" s="26"/>
      <c r="S282" s="26"/>
      <c r="T282" s="26"/>
      <c r="U282" s="26"/>
      <c r="V282" s="26"/>
      <c r="W282" s="26"/>
    </row>
    <row r="283" spans="1:23">
      <c r="A283" s="26"/>
      <c r="B283" s="26"/>
      <c r="C283" s="26"/>
      <c r="D283" s="26"/>
      <c r="E283" s="26"/>
      <c r="F283" s="26"/>
      <c r="G283" s="26"/>
      <c r="H283" s="26"/>
      <c r="I283" s="26"/>
      <c r="J283" s="26"/>
      <c r="K283" s="26"/>
      <c r="L283" s="26"/>
      <c r="M283" s="26"/>
      <c r="N283" s="26"/>
      <c r="O283" s="26"/>
      <c r="P283" s="26"/>
      <c r="Q283" s="26"/>
      <c r="R283" s="26"/>
      <c r="S283" s="26"/>
      <c r="T283" s="26"/>
      <c r="U283" s="26"/>
      <c r="V283" s="26"/>
      <c r="W283" s="26"/>
    </row>
    <row r="284" spans="1:23">
      <c r="A284" s="26"/>
      <c r="B284" s="26"/>
      <c r="C284" s="26"/>
      <c r="D284" s="26"/>
      <c r="E284" s="26"/>
      <c r="F284" s="26"/>
      <c r="G284" s="26"/>
      <c r="H284" s="26"/>
      <c r="I284" s="26"/>
      <c r="J284" s="26"/>
      <c r="K284" s="26"/>
      <c r="L284" s="26"/>
      <c r="M284" s="26"/>
      <c r="N284" s="26"/>
      <c r="O284" s="26"/>
      <c r="P284" s="26"/>
      <c r="Q284" s="26"/>
      <c r="R284" s="26"/>
      <c r="S284" s="26"/>
      <c r="T284" s="26"/>
      <c r="U284" s="26"/>
      <c r="V284" s="26"/>
      <c r="W284" s="26"/>
    </row>
    <row r="285" spans="1:23">
      <c r="A285" s="26"/>
      <c r="B285" s="26"/>
      <c r="C285" s="26"/>
      <c r="D285" s="26"/>
      <c r="E285" s="26"/>
      <c r="F285" s="26"/>
      <c r="G285" s="26"/>
      <c r="H285" s="26"/>
      <c r="I285" s="26"/>
      <c r="J285" s="26"/>
      <c r="K285" s="26"/>
      <c r="L285" s="26"/>
      <c r="M285" s="26"/>
      <c r="N285" s="26"/>
      <c r="O285" s="26"/>
      <c r="P285" s="26"/>
      <c r="Q285" s="26"/>
      <c r="R285" s="26"/>
      <c r="S285" s="26"/>
      <c r="T285" s="26"/>
      <c r="U285" s="26"/>
      <c r="V285" s="26"/>
      <c r="W285" s="26"/>
    </row>
    <row r="286" spans="1:23">
      <c r="A286" s="26"/>
      <c r="B286" s="26"/>
      <c r="C286" s="26"/>
      <c r="D286" s="26"/>
      <c r="E286" s="26"/>
      <c r="F286" s="26"/>
      <c r="G286" s="26"/>
      <c r="H286" s="26"/>
      <c r="I286" s="26"/>
      <c r="J286" s="26"/>
      <c r="K286" s="26"/>
      <c r="L286" s="26"/>
      <c r="M286" s="26"/>
      <c r="N286" s="26"/>
      <c r="O286" s="26"/>
      <c r="P286" s="26"/>
      <c r="Q286" s="26"/>
      <c r="R286" s="26"/>
      <c r="S286" s="26"/>
      <c r="T286" s="26"/>
      <c r="U286" s="26"/>
      <c r="V286" s="26"/>
      <c r="W286" s="26"/>
    </row>
    <row r="287" spans="1:23">
      <c r="A287" s="26"/>
      <c r="B287" s="26"/>
      <c r="C287" s="26"/>
      <c r="D287" s="26"/>
      <c r="E287" s="26"/>
      <c r="F287" s="26"/>
      <c r="G287" s="26"/>
      <c r="H287" s="26"/>
      <c r="I287" s="26"/>
      <c r="J287" s="26"/>
      <c r="K287" s="26"/>
      <c r="L287" s="26"/>
      <c r="M287" s="26"/>
      <c r="N287" s="26"/>
      <c r="O287" s="26"/>
      <c r="P287" s="26"/>
      <c r="Q287" s="26"/>
      <c r="R287" s="26"/>
      <c r="S287" s="26"/>
      <c r="T287" s="26"/>
      <c r="U287" s="26"/>
      <c r="V287" s="26"/>
      <c r="W287" s="26"/>
    </row>
    <row r="288" spans="1:23">
      <c r="A288" s="26"/>
      <c r="B288" s="26"/>
      <c r="C288" s="26"/>
      <c r="D288" s="26"/>
      <c r="E288" s="26"/>
      <c r="F288" s="26"/>
      <c r="G288" s="26"/>
      <c r="H288" s="26"/>
      <c r="I288" s="26"/>
      <c r="J288" s="26"/>
      <c r="K288" s="26"/>
      <c r="L288" s="26"/>
      <c r="M288" s="26"/>
      <c r="N288" s="26"/>
      <c r="O288" s="26"/>
      <c r="P288" s="26"/>
      <c r="Q288" s="26"/>
      <c r="R288" s="26"/>
      <c r="S288" s="26"/>
      <c r="T288" s="26"/>
      <c r="U288" s="26"/>
      <c r="V288" s="26"/>
      <c r="W288" s="26"/>
    </row>
    <row r="289" spans="1:23">
      <c r="A289" s="26"/>
      <c r="B289" s="26"/>
      <c r="C289" s="26"/>
      <c r="D289" s="26"/>
      <c r="E289" s="26"/>
      <c r="F289" s="26"/>
      <c r="G289" s="26"/>
      <c r="H289" s="26"/>
      <c r="I289" s="26"/>
      <c r="J289" s="26"/>
      <c r="K289" s="26"/>
      <c r="L289" s="26"/>
      <c r="M289" s="26"/>
      <c r="N289" s="26"/>
      <c r="O289" s="26"/>
      <c r="P289" s="26"/>
      <c r="Q289" s="26"/>
      <c r="R289" s="26"/>
      <c r="S289" s="26"/>
      <c r="T289" s="26"/>
      <c r="U289" s="26"/>
      <c r="V289" s="26"/>
      <c r="W289" s="26"/>
    </row>
    <row r="290" spans="1:23">
      <c r="A290" s="26"/>
      <c r="B290" s="26"/>
      <c r="C290" s="26"/>
      <c r="D290" s="26"/>
      <c r="E290" s="26"/>
      <c r="F290" s="26"/>
      <c r="G290" s="26"/>
      <c r="H290" s="26"/>
      <c r="I290" s="26"/>
      <c r="J290" s="26"/>
      <c r="K290" s="26"/>
      <c r="L290" s="26"/>
      <c r="M290" s="26"/>
      <c r="N290" s="26"/>
      <c r="O290" s="26"/>
      <c r="P290" s="26"/>
      <c r="Q290" s="26"/>
      <c r="R290" s="26"/>
      <c r="S290" s="26"/>
      <c r="T290" s="26"/>
      <c r="U290" s="26"/>
      <c r="V290" s="26"/>
      <c r="W290" s="26"/>
    </row>
    <row r="291" spans="1:23">
      <c r="A291" s="26"/>
      <c r="B291" s="26"/>
      <c r="C291" s="26"/>
      <c r="D291" s="26"/>
      <c r="E291" s="26"/>
      <c r="F291" s="26"/>
      <c r="G291" s="26"/>
      <c r="H291" s="26"/>
      <c r="I291" s="26"/>
      <c r="J291" s="26"/>
      <c r="K291" s="26"/>
      <c r="L291" s="26"/>
      <c r="M291" s="26"/>
      <c r="N291" s="26"/>
      <c r="O291" s="26"/>
      <c r="P291" s="26"/>
      <c r="Q291" s="26"/>
      <c r="R291" s="26"/>
      <c r="S291" s="26"/>
      <c r="T291" s="26"/>
      <c r="U291" s="26"/>
      <c r="V291" s="26"/>
      <c r="W291" s="26"/>
    </row>
    <row r="292" spans="1:23">
      <c r="A292" s="26"/>
      <c r="B292" s="26"/>
      <c r="C292" s="26"/>
      <c r="D292" s="26"/>
      <c r="E292" s="26"/>
      <c r="F292" s="26"/>
      <c r="G292" s="26"/>
      <c r="H292" s="26"/>
      <c r="I292" s="26"/>
      <c r="J292" s="26"/>
      <c r="K292" s="26"/>
      <c r="L292" s="26"/>
      <c r="M292" s="26"/>
      <c r="N292" s="26"/>
      <c r="O292" s="26"/>
      <c r="P292" s="26"/>
      <c r="Q292" s="26"/>
      <c r="R292" s="26"/>
      <c r="S292" s="26"/>
      <c r="T292" s="26"/>
      <c r="U292" s="26"/>
      <c r="V292" s="26"/>
      <c r="W292" s="26"/>
    </row>
    <row r="293" spans="1:23">
      <c r="A293" s="26"/>
      <c r="B293" s="26"/>
      <c r="C293" s="26"/>
      <c r="D293" s="26"/>
      <c r="E293" s="26"/>
      <c r="F293" s="26"/>
      <c r="G293" s="26"/>
      <c r="H293" s="26"/>
      <c r="I293" s="26"/>
      <c r="J293" s="26"/>
      <c r="K293" s="26"/>
      <c r="L293" s="26"/>
      <c r="M293" s="26"/>
      <c r="N293" s="26"/>
      <c r="O293" s="26"/>
      <c r="P293" s="26"/>
      <c r="Q293" s="26"/>
      <c r="R293" s="26"/>
      <c r="S293" s="26"/>
      <c r="T293" s="26"/>
      <c r="U293" s="26"/>
      <c r="V293" s="26"/>
      <c r="W293" s="26"/>
    </row>
    <row r="294" spans="1:23">
      <c r="A294" s="26"/>
      <c r="B294" s="26"/>
      <c r="C294" s="26"/>
      <c r="D294" s="26"/>
      <c r="E294" s="26"/>
      <c r="F294" s="26"/>
      <c r="G294" s="26"/>
      <c r="H294" s="26"/>
      <c r="I294" s="26"/>
      <c r="J294" s="26"/>
      <c r="K294" s="26"/>
      <c r="L294" s="26"/>
      <c r="M294" s="26"/>
      <c r="N294" s="26"/>
      <c r="O294" s="26"/>
      <c r="P294" s="26"/>
      <c r="Q294" s="26"/>
      <c r="R294" s="26"/>
      <c r="S294" s="26"/>
      <c r="T294" s="26"/>
      <c r="U294" s="26"/>
      <c r="V294" s="26"/>
      <c r="W294" s="26"/>
    </row>
    <row r="295" spans="1:23">
      <c r="A295" s="26"/>
      <c r="B295" s="26"/>
      <c r="C295" s="26"/>
      <c r="D295" s="26"/>
      <c r="E295" s="26"/>
      <c r="F295" s="26"/>
      <c r="G295" s="26"/>
      <c r="H295" s="26"/>
      <c r="I295" s="26"/>
      <c r="J295" s="26"/>
      <c r="K295" s="26"/>
      <c r="L295" s="26"/>
      <c r="M295" s="26"/>
      <c r="N295" s="26"/>
      <c r="O295" s="26"/>
      <c r="P295" s="26"/>
      <c r="Q295" s="26"/>
      <c r="R295" s="26"/>
      <c r="S295" s="26"/>
      <c r="T295" s="26"/>
      <c r="U295" s="26"/>
      <c r="V295" s="26"/>
      <c r="W295" s="26"/>
    </row>
    <row r="296" spans="1:23">
      <c r="A296" s="26"/>
      <c r="B296" s="26"/>
      <c r="C296" s="26"/>
      <c r="D296" s="26"/>
      <c r="E296" s="26"/>
      <c r="F296" s="26"/>
      <c r="G296" s="26"/>
      <c r="H296" s="26"/>
      <c r="I296" s="26"/>
      <c r="J296" s="26"/>
      <c r="K296" s="26"/>
      <c r="L296" s="26"/>
      <c r="M296" s="26"/>
      <c r="N296" s="26"/>
      <c r="O296" s="26"/>
      <c r="P296" s="26"/>
      <c r="Q296" s="26"/>
      <c r="R296" s="26"/>
      <c r="S296" s="26"/>
      <c r="T296" s="26"/>
      <c r="U296" s="26"/>
      <c r="V296" s="26"/>
      <c r="W296" s="26"/>
    </row>
    <row r="297" spans="1:23">
      <c r="A297" s="26"/>
      <c r="B297" s="26"/>
      <c r="C297" s="26"/>
      <c r="D297" s="26"/>
      <c r="E297" s="26"/>
      <c r="F297" s="26"/>
      <c r="G297" s="26"/>
      <c r="H297" s="26"/>
      <c r="I297" s="26"/>
      <c r="J297" s="26"/>
      <c r="K297" s="26"/>
      <c r="L297" s="26"/>
      <c r="M297" s="26"/>
      <c r="N297" s="26"/>
      <c r="O297" s="26"/>
      <c r="P297" s="26"/>
      <c r="Q297" s="26"/>
      <c r="R297" s="26"/>
      <c r="S297" s="26"/>
      <c r="T297" s="26"/>
      <c r="U297" s="26"/>
      <c r="V297" s="26"/>
      <c r="W297" s="26"/>
    </row>
    <row r="298" spans="1:23">
      <c r="A298" s="26"/>
      <c r="B298" s="26"/>
      <c r="C298" s="26"/>
      <c r="D298" s="26"/>
      <c r="E298" s="26"/>
      <c r="F298" s="26"/>
      <c r="G298" s="26"/>
      <c r="H298" s="26"/>
      <c r="I298" s="26"/>
      <c r="J298" s="26"/>
      <c r="K298" s="26"/>
      <c r="L298" s="26"/>
      <c r="M298" s="26"/>
      <c r="N298" s="26"/>
      <c r="O298" s="26"/>
      <c r="P298" s="26"/>
      <c r="Q298" s="26"/>
      <c r="R298" s="26"/>
      <c r="S298" s="26"/>
      <c r="T298" s="26"/>
      <c r="U298" s="26"/>
      <c r="V298" s="26"/>
      <c r="W298" s="26"/>
    </row>
    <row r="299" spans="1:23">
      <c r="A299" s="26"/>
      <c r="B299" s="26"/>
      <c r="C299" s="26"/>
      <c r="D299" s="26"/>
      <c r="E299" s="26"/>
      <c r="F299" s="26"/>
      <c r="G299" s="26"/>
      <c r="H299" s="26"/>
      <c r="I299" s="26"/>
      <c r="J299" s="26"/>
      <c r="K299" s="26"/>
      <c r="L299" s="26"/>
      <c r="M299" s="26"/>
      <c r="N299" s="26"/>
      <c r="O299" s="26"/>
      <c r="P299" s="26"/>
      <c r="Q299" s="26"/>
      <c r="R299" s="26"/>
      <c r="S299" s="26"/>
      <c r="T299" s="26"/>
      <c r="U299" s="26"/>
      <c r="V299" s="26"/>
      <c r="W299" s="26"/>
    </row>
    <row r="300" spans="1:23">
      <c r="A300" s="26"/>
      <c r="B300" s="26"/>
      <c r="C300" s="26"/>
      <c r="D300" s="26"/>
      <c r="E300" s="26"/>
      <c r="F300" s="26"/>
      <c r="G300" s="26"/>
      <c r="H300" s="26"/>
      <c r="I300" s="26"/>
      <c r="J300" s="26"/>
      <c r="K300" s="26"/>
      <c r="L300" s="26"/>
      <c r="M300" s="26"/>
      <c r="N300" s="26"/>
      <c r="O300" s="26"/>
      <c r="P300" s="26"/>
      <c r="Q300" s="26"/>
      <c r="R300" s="26"/>
      <c r="S300" s="26"/>
      <c r="T300" s="26"/>
      <c r="U300" s="26"/>
      <c r="V300" s="26"/>
      <c r="W300" s="26"/>
    </row>
    <row r="301" spans="1:23">
      <c r="A301" s="26"/>
      <c r="B301" s="26"/>
      <c r="C301" s="26"/>
      <c r="D301" s="26"/>
      <c r="E301" s="26"/>
      <c r="F301" s="26"/>
      <c r="G301" s="26"/>
      <c r="H301" s="26"/>
      <c r="I301" s="26"/>
      <c r="J301" s="26"/>
      <c r="K301" s="26"/>
      <c r="L301" s="26"/>
      <c r="M301" s="26"/>
      <c r="N301" s="26"/>
      <c r="O301" s="26"/>
      <c r="P301" s="26"/>
      <c r="Q301" s="26"/>
      <c r="R301" s="26"/>
      <c r="S301" s="26"/>
      <c r="T301" s="26"/>
      <c r="U301" s="26"/>
      <c r="V301" s="26"/>
      <c r="W301" s="26"/>
    </row>
    <row r="302" spans="1:23">
      <c r="A302" s="26"/>
      <c r="B302" s="26"/>
      <c r="C302" s="26"/>
      <c r="D302" s="26"/>
      <c r="E302" s="26"/>
      <c r="F302" s="26"/>
      <c r="G302" s="26"/>
      <c r="H302" s="26"/>
      <c r="I302" s="26"/>
      <c r="J302" s="26"/>
      <c r="K302" s="26"/>
      <c r="L302" s="26"/>
      <c r="M302" s="26"/>
      <c r="N302" s="26"/>
      <c r="O302" s="26"/>
      <c r="P302" s="26"/>
      <c r="Q302" s="26"/>
      <c r="R302" s="26"/>
      <c r="S302" s="26"/>
      <c r="T302" s="26"/>
      <c r="U302" s="26"/>
      <c r="V302" s="26"/>
      <c r="W302" s="26"/>
    </row>
    <row r="303" spans="1:23">
      <c r="A303" s="26"/>
      <c r="B303" s="26"/>
      <c r="C303" s="26"/>
      <c r="D303" s="26"/>
      <c r="E303" s="26"/>
      <c r="F303" s="26"/>
      <c r="G303" s="26"/>
      <c r="H303" s="26"/>
      <c r="I303" s="26"/>
      <c r="J303" s="26"/>
      <c r="K303" s="26"/>
      <c r="L303" s="26"/>
      <c r="M303" s="26"/>
      <c r="N303" s="26"/>
      <c r="O303" s="26"/>
      <c r="P303" s="26"/>
      <c r="Q303" s="26"/>
      <c r="R303" s="26"/>
      <c r="S303" s="26"/>
      <c r="T303" s="26"/>
      <c r="U303" s="26"/>
      <c r="V303" s="26"/>
      <c r="W303" s="26"/>
    </row>
    <row r="304" spans="1:23">
      <c r="A304" s="26"/>
      <c r="B304" s="26"/>
      <c r="C304" s="26"/>
      <c r="D304" s="26"/>
      <c r="E304" s="26"/>
      <c r="F304" s="26"/>
      <c r="G304" s="26"/>
      <c r="H304" s="26"/>
      <c r="I304" s="26"/>
      <c r="J304" s="26"/>
      <c r="K304" s="26"/>
      <c r="L304" s="26"/>
      <c r="M304" s="26"/>
      <c r="N304" s="26"/>
      <c r="O304" s="26"/>
      <c r="P304" s="26"/>
      <c r="Q304" s="26"/>
      <c r="R304" s="26"/>
      <c r="S304" s="26"/>
      <c r="T304" s="26"/>
      <c r="U304" s="26"/>
      <c r="V304" s="26"/>
      <c r="W304" s="26"/>
    </row>
    <row r="305" spans="1:23">
      <c r="A305" s="26"/>
      <c r="B305" s="26"/>
      <c r="C305" s="26"/>
      <c r="D305" s="26"/>
      <c r="E305" s="26"/>
      <c r="F305" s="26"/>
      <c r="G305" s="26"/>
      <c r="H305" s="26"/>
      <c r="I305" s="26"/>
      <c r="J305" s="26"/>
      <c r="K305" s="26"/>
      <c r="L305" s="26"/>
      <c r="M305" s="26"/>
      <c r="N305" s="26"/>
      <c r="O305" s="26"/>
      <c r="P305" s="26"/>
      <c r="Q305" s="26"/>
      <c r="R305" s="26"/>
      <c r="S305" s="26"/>
      <c r="T305" s="26"/>
      <c r="U305" s="26"/>
      <c r="V305" s="26"/>
      <c r="W305" s="26"/>
    </row>
    <row r="306" spans="1:23">
      <c r="A306" s="26"/>
      <c r="B306" s="26"/>
      <c r="C306" s="26"/>
      <c r="D306" s="26"/>
      <c r="E306" s="26"/>
      <c r="F306" s="26"/>
      <c r="G306" s="26"/>
      <c r="H306" s="26"/>
      <c r="I306" s="26"/>
      <c r="J306" s="26"/>
      <c r="K306" s="26"/>
      <c r="L306" s="26"/>
      <c r="M306" s="26"/>
      <c r="N306" s="26"/>
      <c r="O306" s="26"/>
      <c r="P306" s="26"/>
      <c r="Q306" s="26"/>
      <c r="R306" s="26"/>
      <c r="S306" s="26"/>
      <c r="T306" s="26"/>
      <c r="U306" s="26"/>
      <c r="V306" s="26"/>
      <c r="W306" s="26"/>
    </row>
    <row r="307" spans="1:23">
      <c r="A307" s="26"/>
      <c r="B307" s="26"/>
      <c r="C307" s="26"/>
      <c r="D307" s="26"/>
      <c r="E307" s="26"/>
      <c r="F307" s="26"/>
      <c r="G307" s="26"/>
      <c r="H307" s="26"/>
      <c r="I307" s="26"/>
      <c r="J307" s="26"/>
      <c r="K307" s="26"/>
      <c r="L307" s="26"/>
      <c r="M307" s="26"/>
      <c r="N307" s="26"/>
      <c r="O307" s="26"/>
      <c r="P307" s="26"/>
      <c r="Q307" s="26"/>
      <c r="R307" s="26"/>
      <c r="S307" s="26"/>
      <c r="T307" s="26"/>
      <c r="U307" s="26"/>
      <c r="V307" s="26"/>
      <c r="W307" s="26"/>
    </row>
    <row r="308" spans="1:23">
      <c r="A308" s="26"/>
      <c r="B308" s="26"/>
      <c r="C308" s="26"/>
      <c r="D308" s="26"/>
      <c r="E308" s="26"/>
      <c r="F308" s="26"/>
      <c r="G308" s="26"/>
      <c r="H308" s="26"/>
      <c r="I308" s="26"/>
      <c r="J308" s="26"/>
      <c r="K308" s="26"/>
      <c r="L308" s="26"/>
      <c r="M308" s="26"/>
      <c r="N308" s="26"/>
      <c r="O308" s="26"/>
      <c r="P308" s="26"/>
      <c r="Q308" s="26"/>
      <c r="R308" s="26"/>
      <c r="S308" s="26"/>
      <c r="T308" s="26"/>
      <c r="U308" s="26"/>
      <c r="V308" s="26"/>
      <c r="W308" s="26"/>
    </row>
    <row r="309" spans="1:23">
      <c r="A309" s="26"/>
      <c r="B309" s="26"/>
      <c r="C309" s="26"/>
      <c r="D309" s="26"/>
      <c r="E309" s="26"/>
      <c r="F309" s="26"/>
      <c r="G309" s="26"/>
      <c r="H309" s="26"/>
      <c r="I309" s="26"/>
      <c r="J309" s="26"/>
      <c r="K309" s="26"/>
      <c r="L309" s="26"/>
      <c r="M309" s="26"/>
      <c r="N309" s="26"/>
      <c r="O309" s="26"/>
      <c r="P309" s="26"/>
      <c r="Q309" s="26"/>
      <c r="R309" s="26"/>
      <c r="S309" s="26"/>
      <c r="T309" s="26"/>
      <c r="U309" s="26"/>
      <c r="V309" s="26"/>
      <c r="W309" s="26"/>
    </row>
    <row r="310" spans="1:23">
      <c r="A310" s="26"/>
      <c r="B310" s="26"/>
      <c r="C310" s="26"/>
      <c r="D310" s="26"/>
      <c r="E310" s="26"/>
      <c r="F310" s="26"/>
      <c r="G310" s="26"/>
      <c r="H310" s="26"/>
      <c r="I310" s="26"/>
      <c r="J310" s="26"/>
      <c r="K310" s="26"/>
      <c r="L310" s="26"/>
      <c r="M310" s="26"/>
      <c r="N310" s="26"/>
      <c r="O310" s="26"/>
      <c r="P310" s="26"/>
      <c r="Q310" s="26"/>
      <c r="R310" s="26"/>
      <c r="S310" s="26"/>
      <c r="T310" s="26"/>
      <c r="U310" s="26"/>
      <c r="V310" s="26"/>
      <c r="W310" s="26"/>
    </row>
    <row r="311" spans="1:23">
      <c r="A311" s="26"/>
      <c r="B311" s="26"/>
      <c r="C311" s="26"/>
      <c r="D311" s="26"/>
      <c r="E311" s="26"/>
      <c r="F311" s="26"/>
      <c r="G311" s="26"/>
      <c r="H311" s="26"/>
      <c r="I311" s="26"/>
      <c r="J311" s="26"/>
      <c r="K311" s="26"/>
      <c r="L311" s="26"/>
      <c r="M311" s="26"/>
      <c r="N311" s="26"/>
      <c r="O311" s="26"/>
      <c r="P311" s="26"/>
      <c r="Q311" s="26"/>
      <c r="R311" s="26"/>
      <c r="S311" s="26"/>
      <c r="T311" s="26"/>
      <c r="U311" s="26"/>
      <c r="V311" s="26"/>
      <c r="W311" s="26"/>
    </row>
    <row r="312" spans="1:23">
      <c r="A312" s="26"/>
      <c r="B312" s="26"/>
      <c r="C312" s="26"/>
      <c r="D312" s="26"/>
      <c r="E312" s="26"/>
      <c r="F312" s="26"/>
      <c r="G312" s="26"/>
      <c r="H312" s="26"/>
      <c r="I312" s="26"/>
      <c r="J312" s="26"/>
      <c r="K312" s="26"/>
      <c r="L312" s="26"/>
      <c r="M312" s="26"/>
      <c r="N312" s="26"/>
      <c r="O312" s="26"/>
      <c r="P312" s="26"/>
      <c r="Q312" s="26"/>
      <c r="R312" s="26"/>
      <c r="S312" s="26"/>
      <c r="T312" s="26"/>
      <c r="U312" s="26"/>
      <c r="V312" s="26"/>
      <c r="W312" s="26"/>
    </row>
    <row r="313" spans="1:23">
      <c r="A313" s="26"/>
      <c r="B313" s="26"/>
      <c r="C313" s="26"/>
      <c r="D313" s="26"/>
      <c r="E313" s="26"/>
      <c r="F313" s="26"/>
      <c r="G313" s="26"/>
      <c r="H313" s="26"/>
      <c r="I313" s="26"/>
      <c r="J313" s="26"/>
      <c r="K313" s="26"/>
      <c r="L313" s="26"/>
      <c r="M313" s="26"/>
      <c r="N313" s="26"/>
      <c r="O313" s="26"/>
      <c r="P313" s="26"/>
      <c r="Q313" s="26"/>
      <c r="R313" s="26"/>
      <c r="S313" s="26"/>
      <c r="T313" s="26"/>
      <c r="U313" s="26"/>
      <c r="V313" s="26"/>
      <c r="W313" s="26"/>
    </row>
    <row r="314" spans="1:23">
      <c r="A314" s="26"/>
      <c r="B314" s="26"/>
      <c r="C314" s="26"/>
      <c r="D314" s="26"/>
      <c r="E314" s="26"/>
      <c r="F314" s="26"/>
      <c r="G314" s="26"/>
      <c r="H314" s="26"/>
      <c r="I314" s="26"/>
      <c r="J314" s="26"/>
      <c r="K314" s="26"/>
      <c r="L314" s="26"/>
      <c r="M314" s="26"/>
      <c r="N314" s="26"/>
      <c r="O314" s="26"/>
      <c r="P314" s="26"/>
      <c r="Q314" s="26"/>
      <c r="R314" s="26"/>
      <c r="S314" s="26"/>
      <c r="T314" s="26"/>
      <c r="U314" s="26"/>
      <c r="V314" s="26"/>
      <c r="W314" s="26"/>
    </row>
    <row r="315" spans="1:23">
      <c r="A315" s="26"/>
      <c r="B315" s="26"/>
      <c r="C315" s="26"/>
      <c r="D315" s="26"/>
      <c r="E315" s="26"/>
      <c r="F315" s="26"/>
      <c r="G315" s="26"/>
      <c r="H315" s="26"/>
      <c r="I315" s="26"/>
      <c r="J315" s="26"/>
      <c r="K315" s="26"/>
      <c r="L315" s="26"/>
      <c r="M315" s="26"/>
      <c r="N315" s="26"/>
      <c r="O315" s="26"/>
      <c r="P315" s="26"/>
      <c r="Q315" s="26"/>
      <c r="R315" s="26"/>
      <c r="S315" s="26"/>
      <c r="T315" s="26"/>
      <c r="U315" s="26"/>
      <c r="V315" s="26"/>
      <c r="W315" s="26"/>
    </row>
    <row r="316" spans="1:23">
      <c r="A316" s="26"/>
      <c r="B316" s="26"/>
      <c r="C316" s="26"/>
      <c r="D316" s="26"/>
      <c r="E316" s="26"/>
      <c r="F316" s="26"/>
      <c r="G316" s="26"/>
      <c r="H316" s="26"/>
      <c r="I316" s="26"/>
      <c r="J316" s="26"/>
      <c r="K316" s="26"/>
      <c r="L316" s="26"/>
      <c r="M316" s="26"/>
      <c r="N316" s="26"/>
      <c r="O316" s="26"/>
      <c r="P316" s="26"/>
      <c r="Q316" s="26"/>
      <c r="R316" s="26"/>
      <c r="S316" s="26"/>
      <c r="T316" s="26"/>
      <c r="U316" s="26"/>
      <c r="V316" s="26"/>
      <c r="W316" s="26"/>
    </row>
    <row r="317" spans="1:23">
      <c r="A317" s="26"/>
      <c r="B317" s="26"/>
      <c r="C317" s="26"/>
      <c r="D317" s="26"/>
      <c r="E317" s="26"/>
      <c r="F317" s="26"/>
      <c r="G317" s="26"/>
      <c r="H317" s="26"/>
      <c r="I317" s="26"/>
      <c r="J317" s="26"/>
      <c r="K317" s="26"/>
      <c r="L317" s="26"/>
      <c r="M317" s="26"/>
      <c r="N317" s="26"/>
      <c r="O317" s="26"/>
      <c r="P317" s="26"/>
      <c r="Q317" s="26"/>
      <c r="R317" s="26"/>
      <c r="S317" s="26"/>
      <c r="T317" s="26"/>
      <c r="U317" s="26"/>
      <c r="V317" s="26"/>
      <c r="W317" s="26"/>
    </row>
    <row r="318" spans="1:23">
      <c r="A318" s="26"/>
      <c r="B318" s="26"/>
      <c r="C318" s="26"/>
      <c r="D318" s="26"/>
      <c r="E318" s="26"/>
      <c r="F318" s="26"/>
      <c r="G318" s="26"/>
      <c r="H318" s="26"/>
      <c r="I318" s="26"/>
      <c r="J318" s="26"/>
      <c r="K318" s="26"/>
      <c r="L318" s="26"/>
      <c r="M318" s="26"/>
      <c r="N318" s="26"/>
      <c r="O318" s="26"/>
      <c r="P318" s="26"/>
      <c r="Q318" s="26"/>
      <c r="R318" s="26"/>
      <c r="S318" s="26"/>
      <c r="T318" s="26"/>
      <c r="U318" s="26"/>
      <c r="V318" s="26"/>
      <c r="W318" s="26"/>
    </row>
    <row r="319" spans="1:23">
      <c r="A319" s="26"/>
      <c r="B319" s="26"/>
      <c r="C319" s="26"/>
      <c r="D319" s="26"/>
      <c r="E319" s="26"/>
      <c r="F319" s="26"/>
      <c r="G319" s="26"/>
      <c r="H319" s="26"/>
      <c r="I319" s="26"/>
      <c r="J319" s="26"/>
      <c r="K319" s="26"/>
      <c r="L319" s="26"/>
      <c r="M319" s="26"/>
      <c r="N319" s="26"/>
      <c r="O319" s="26"/>
      <c r="P319" s="26"/>
      <c r="Q319" s="26"/>
      <c r="R319" s="26"/>
      <c r="S319" s="26"/>
      <c r="T319" s="26"/>
      <c r="U319" s="26"/>
      <c r="V319" s="26"/>
      <c r="W319" s="26"/>
    </row>
    <row r="320" spans="1:23">
      <c r="A320" s="26"/>
      <c r="B320" s="26"/>
      <c r="C320" s="26"/>
      <c r="D320" s="26"/>
      <c r="E320" s="26"/>
      <c r="F320" s="26"/>
      <c r="G320" s="26"/>
      <c r="H320" s="26"/>
      <c r="I320" s="26"/>
      <c r="J320" s="26"/>
      <c r="K320" s="26"/>
      <c r="L320" s="26"/>
      <c r="M320" s="26"/>
      <c r="N320" s="26"/>
      <c r="O320" s="26"/>
      <c r="P320" s="26"/>
      <c r="Q320" s="26"/>
      <c r="R320" s="26"/>
      <c r="S320" s="26"/>
      <c r="T320" s="26"/>
      <c r="U320" s="26"/>
      <c r="V320" s="26"/>
      <c r="W320" s="26"/>
    </row>
    <row r="321" spans="1:23">
      <c r="A321" s="26"/>
      <c r="B321" s="26"/>
      <c r="C321" s="26"/>
      <c r="D321" s="26"/>
      <c r="E321" s="26"/>
      <c r="F321" s="26"/>
      <c r="G321" s="26"/>
      <c r="H321" s="26"/>
      <c r="I321" s="26"/>
      <c r="J321" s="26"/>
      <c r="K321" s="26"/>
      <c r="L321" s="26"/>
      <c r="M321" s="26"/>
      <c r="N321" s="26"/>
      <c r="O321" s="26"/>
      <c r="P321" s="26"/>
      <c r="Q321" s="26"/>
      <c r="R321" s="26"/>
      <c r="S321" s="26"/>
      <c r="T321" s="26"/>
      <c r="U321" s="26"/>
      <c r="V321" s="26"/>
      <c r="W321" s="26"/>
    </row>
    <row r="322" spans="1:23">
      <c r="A322" s="26"/>
      <c r="B322" s="26"/>
      <c r="C322" s="26"/>
      <c r="D322" s="26"/>
      <c r="E322" s="26"/>
      <c r="F322" s="26"/>
      <c r="G322" s="26"/>
      <c r="H322" s="26"/>
      <c r="I322" s="26"/>
      <c r="J322" s="26"/>
      <c r="K322" s="26"/>
      <c r="L322" s="26"/>
      <c r="M322" s="26"/>
      <c r="N322" s="26"/>
      <c r="O322" s="26"/>
      <c r="P322" s="26"/>
      <c r="Q322" s="26"/>
      <c r="R322" s="26"/>
      <c r="S322" s="26"/>
      <c r="T322" s="26"/>
      <c r="U322" s="26"/>
      <c r="V322" s="26"/>
      <c r="W322" s="26"/>
    </row>
    <row r="323" spans="1:23">
      <c r="A323" s="26"/>
      <c r="B323" s="26"/>
      <c r="C323" s="26"/>
      <c r="D323" s="26"/>
      <c r="E323" s="26"/>
      <c r="F323" s="26"/>
      <c r="G323" s="26"/>
      <c r="H323" s="26"/>
      <c r="I323" s="26"/>
      <c r="J323" s="26"/>
      <c r="K323" s="26"/>
      <c r="L323" s="26"/>
      <c r="M323" s="26"/>
      <c r="N323" s="26"/>
      <c r="O323" s="26"/>
      <c r="P323" s="26"/>
      <c r="Q323" s="26"/>
      <c r="R323" s="26"/>
      <c r="S323" s="26"/>
      <c r="T323" s="26"/>
      <c r="U323" s="26"/>
      <c r="V323" s="26"/>
      <c r="W323" s="26"/>
    </row>
    <row r="324" spans="1:23">
      <c r="A324" s="26"/>
      <c r="B324" s="26"/>
      <c r="C324" s="26"/>
      <c r="D324" s="26"/>
      <c r="E324" s="26"/>
      <c r="F324" s="26"/>
      <c r="G324" s="26"/>
      <c r="H324" s="26"/>
      <c r="I324" s="26"/>
      <c r="J324" s="26"/>
      <c r="K324" s="26"/>
      <c r="L324" s="26"/>
      <c r="M324" s="26"/>
      <c r="N324" s="26"/>
      <c r="O324" s="26"/>
      <c r="P324" s="26"/>
      <c r="Q324" s="26"/>
      <c r="R324" s="26"/>
      <c r="S324" s="26"/>
      <c r="T324" s="26"/>
      <c r="U324" s="26"/>
      <c r="V324" s="26"/>
      <c r="W324" s="26"/>
    </row>
    <row r="325" spans="1:23">
      <c r="A325" s="26"/>
      <c r="B325" s="26"/>
      <c r="C325" s="26"/>
      <c r="D325" s="26"/>
      <c r="E325" s="26"/>
      <c r="F325" s="26"/>
      <c r="G325" s="26"/>
      <c r="H325" s="26"/>
      <c r="I325" s="26"/>
      <c r="J325" s="26"/>
      <c r="K325" s="26"/>
      <c r="L325" s="26"/>
      <c r="M325" s="26"/>
      <c r="N325" s="26"/>
      <c r="O325" s="26"/>
      <c r="P325" s="26"/>
      <c r="Q325" s="26"/>
      <c r="R325" s="26"/>
      <c r="S325" s="26"/>
      <c r="T325" s="26"/>
      <c r="U325" s="26"/>
      <c r="V325" s="26"/>
      <c r="W325" s="26"/>
    </row>
    <row r="326" spans="1:23">
      <c r="A326" s="26"/>
      <c r="B326" s="26"/>
      <c r="C326" s="26"/>
      <c r="D326" s="26"/>
      <c r="E326" s="26"/>
      <c r="F326" s="26"/>
      <c r="G326" s="26"/>
      <c r="H326" s="26"/>
      <c r="I326" s="26"/>
      <c r="J326" s="26"/>
      <c r="K326" s="26"/>
      <c r="L326" s="26"/>
      <c r="M326" s="26"/>
      <c r="N326" s="26"/>
      <c r="O326" s="26"/>
      <c r="P326" s="26"/>
      <c r="Q326" s="26"/>
      <c r="R326" s="26"/>
      <c r="S326" s="26"/>
      <c r="T326" s="26"/>
      <c r="U326" s="26"/>
      <c r="V326" s="26"/>
      <c r="W326" s="26"/>
    </row>
    <row r="327" spans="1:23">
      <c r="A327" s="26"/>
      <c r="B327" s="26"/>
      <c r="C327" s="26"/>
      <c r="D327" s="26"/>
      <c r="E327" s="26"/>
      <c r="F327" s="26"/>
      <c r="G327" s="26"/>
      <c r="H327" s="26"/>
      <c r="I327" s="26"/>
      <c r="J327" s="26"/>
      <c r="K327" s="26"/>
      <c r="L327" s="26"/>
      <c r="M327" s="26"/>
      <c r="N327" s="26"/>
      <c r="O327" s="26"/>
      <c r="P327" s="26"/>
      <c r="Q327" s="26"/>
      <c r="R327" s="26"/>
      <c r="S327" s="26"/>
      <c r="T327" s="26"/>
      <c r="U327" s="26"/>
      <c r="V327" s="26"/>
      <c r="W327" s="26"/>
    </row>
    <row r="328" spans="1:23">
      <c r="A328" s="26"/>
      <c r="B328" s="26"/>
      <c r="C328" s="26"/>
      <c r="D328" s="26"/>
      <c r="E328" s="26"/>
      <c r="F328" s="26"/>
      <c r="G328" s="26"/>
      <c r="H328" s="26"/>
      <c r="I328" s="26"/>
      <c r="J328" s="26"/>
      <c r="K328" s="26"/>
      <c r="L328" s="26"/>
      <c r="M328" s="26"/>
      <c r="N328" s="26"/>
      <c r="O328" s="26"/>
      <c r="P328" s="26"/>
      <c r="Q328" s="26"/>
      <c r="R328" s="26"/>
      <c r="S328" s="26"/>
      <c r="T328" s="26"/>
      <c r="U328" s="26"/>
      <c r="V328" s="26"/>
      <c r="W328" s="26"/>
    </row>
    <row r="329" spans="1:23">
      <c r="A329" s="26"/>
      <c r="B329" s="26"/>
      <c r="C329" s="26"/>
      <c r="D329" s="26"/>
      <c r="E329" s="26"/>
      <c r="F329" s="26"/>
      <c r="G329" s="26"/>
      <c r="H329" s="26"/>
      <c r="I329" s="26"/>
      <c r="J329" s="26"/>
      <c r="K329" s="26"/>
      <c r="L329" s="26"/>
      <c r="M329" s="26"/>
      <c r="N329" s="26"/>
      <c r="O329" s="26"/>
      <c r="P329" s="26"/>
      <c r="Q329" s="26"/>
      <c r="R329" s="26"/>
      <c r="S329" s="26"/>
      <c r="T329" s="26"/>
      <c r="U329" s="26"/>
      <c r="V329" s="26"/>
      <c r="W329" s="26"/>
    </row>
    <row r="330" spans="1:23">
      <c r="A330" s="26"/>
      <c r="B330" s="26"/>
      <c r="C330" s="26"/>
      <c r="D330" s="26"/>
      <c r="E330" s="26"/>
      <c r="F330" s="26"/>
      <c r="G330" s="26"/>
      <c r="H330" s="26"/>
      <c r="I330" s="26"/>
      <c r="J330" s="26"/>
      <c r="K330" s="26"/>
      <c r="L330" s="26"/>
      <c r="M330" s="26"/>
      <c r="N330" s="26"/>
      <c r="O330" s="26"/>
      <c r="P330" s="26"/>
      <c r="Q330" s="26"/>
      <c r="R330" s="26"/>
      <c r="S330" s="26"/>
      <c r="T330" s="26"/>
      <c r="U330" s="26"/>
      <c r="V330" s="26"/>
      <c r="W330" s="26"/>
    </row>
    <row r="331" spans="1:23">
      <c r="A331" s="26"/>
      <c r="B331" s="26"/>
      <c r="C331" s="26"/>
      <c r="D331" s="26"/>
      <c r="E331" s="26"/>
      <c r="F331" s="26"/>
      <c r="G331" s="26"/>
      <c r="H331" s="26"/>
      <c r="I331" s="26"/>
      <c r="J331" s="26"/>
      <c r="K331" s="26"/>
      <c r="L331" s="26"/>
      <c r="M331" s="26"/>
      <c r="N331" s="26"/>
      <c r="O331" s="26"/>
      <c r="P331" s="26"/>
      <c r="Q331" s="26"/>
      <c r="R331" s="26"/>
      <c r="S331" s="26"/>
      <c r="T331" s="26"/>
      <c r="U331" s="26"/>
      <c r="V331" s="26"/>
      <c r="W331" s="26"/>
    </row>
    <row r="332" spans="1:23">
      <c r="A332" s="26"/>
      <c r="B332" s="26"/>
      <c r="C332" s="26"/>
      <c r="D332" s="26"/>
      <c r="E332" s="26"/>
      <c r="F332" s="26"/>
      <c r="G332" s="26"/>
      <c r="H332" s="26"/>
      <c r="I332" s="26"/>
      <c r="J332" s="26"/>
      <c r="K332" s="26"/>
      <c r="L332" s="26"/>
      <c r="M332" s="26"/>
      <c r="N332" s="26"/>
      <c r="O332" s="26"/>
      <c r="P332" s="26"/>
      <c r="Q332" s="26"/>
      <c r="R332" s="26"/>
      <c r="S332" s="26"/>
      <c r="T332" s="26"/>
      <c r="U332" s="26"/>
      <c r="V332" s="26"/>
      <c r="W332" s="26"/>
    </row>
    <row r="333" spans="1:23">
      <c r="A333" s="26"/>
      <c r="B333" s="26"/>
      <c r="C333" s="26"/>
      <c r="D333" s="26"/>
      <c r="E333" s="26"/>
      <c r="F333" s="26"/>
      <c r="G333" s="26"/>
      <c r="H333" s="26"/>
      <c r="I333" s="26"/>
      <c r="J333" s="26"/>
      <c r="K333" s="26"/>
      <c r="L333" s="26"/>
      <c r="M333" s="26"/>
      <c r="N333" s="26"/>
      <c r="O333" s="26"/>
      <c r="P333" s="26"/>
      <c r="Q333" s="26"/>
      <c r="R333" s="26"/>
      <c r="S333" s="26"/>
      <c r="T333" s="26"/>
      <c r="U333" s="26"/>
      <c r="V333" s="26"/>
      <c r="W333" s="26"/>
    </row>
    <row r="334" spans="1:23">
      <c r="A334" s="26"/>
      <c r="B334" s="26"/>
      <c r="C334" s="26"/>
      <c r="D334" s="26"/>
      <c r="E334" s="26"/>
      <c r="F334" s="26"/>
      <c r="G334" s="26"/>
      <c r="H334" s="26"/>
      <c r="I334" s="26"/>
      <c r="J334" s="26"/>
      <c r="K334" s="26"/>
      <c r="L334" s="26"/>
      <c r="M334" s="26"/>
      <c r="N334" s="26"/>
      <c r="O334" s="26"/>
      <c r="P334" s="26"/>
      <c r="Q334" s="26"/>
      <c r="R334" s="26"/>
      <c r="S334" s="26"/>
      <c r="T334" s="26"/>
      <c r="U334" s="26"/>
      <c r="V334" s="26"/>
      <c r="W334" s="26"/>
    </row>
    <row r="335" spans="1:23">
      <c r="A335" s="26"/>
      <c r="B335" s="26"/>
      <c r="C335" s="26"/>
      <c r="D335" s="26"/>
      <c r="E335" s="26"/>
      <c r="F335" s="26"/>
      <c r="G335" s="26"/>
      <c r="H335" s="26"/>
      <c r="I335" s="26"/>
      <c r="J335" s="26"/>
      <c r="K335" s="26"/>
      <c r="L335" s="26"/>
      <c r="M335" s="26"/>
      <c r="N335" s="26"/>
      <c r="O335" s="26"/>
      <c r="P335" s="26"/>
      <c r="Q335" s="26"/>
      <c r="R335" s="26"/>
      <c r="S335" s="26"/>
      <c r="T335" s="26"/>
      <c r="U335" s="26"/>
      <c r="V335" s="26"/>
      <c r="W335" s="26"/>
    </row>
    <row r="336" spans="1:23">
      <c r="A336" s="26"/>
      <c r="B336" s="26"/>
      <c r="C336" s="26"/>
      <c r="D336" s="26"/>
      <c r="E336" s="26"/>
      <c r="F336" s="26"/>
      <c r="G336" s="26"/>
      <c r="H336" s="26"/>
      <c r="I336" s="26"/>
      <c r="J336" s="26"/>
      <c r="K336" s="26"/>
      <c r="L336" s="26"/>
      <c r="M336" s="26"/>
      <c r="N336" s="26"/>
      <c r="O336" s="26"/>
      <c r="P336" s="26"/>
      <c r="Q336" s="26"/>
      <c r="R336" s="26"/>
      <c r="S336" s="26"/>
      <c r="T336" s="26"/>
      <c r="U336" s="26"/>
      <c r="V336" s="26"/>
      <c r="W336" s="26"/>
    </row>
    <row r="337" spans="1:23">
      <c r="A337" s="26"/>
      <c r="B337" s="26"/>
      <c r="C337" s="26"/>
      <c r="D337" s="26"/>
      <c r="E337" s="26"/>
      <c r="F337" s="26"/>
      <c r="G337" s="26"/>
      <c r="H337" s="26"/>
      <c r="I337" s="26"/>
      <c r="J337" s="26"/>
      <c r="K337" s="26"/>
      <c r="L337" s="26"/>
      <c r="M337" s="26"/>
      <c r="N337" s="26"/>
      <c r="O337" s="26"/>
      <c r="P337" s="26"/>
      <c r="Q337" s="26"/>
      <c r="R337" s="26"/>
      <c r="S337" s="26"/>
      <c r="T337" s="26"/>
      <c r="U337" s="26"/>
      <c r="V337" s="26"/>
      <c r="W337" s="26"/>
    </row>
    <row r="338" spans="1:23">
      <c r="A338" s="26"/>
      <c r="B338" s="26"/>
      <c r="C338" s="26"/>
      <c r="D338" s="26"/>
      <c r="E338" s="26"/>
      <c r="F338" s="26"/>
      <c r="G338" s="26"/>
      <c r="H338" s="26"/>
      <c r="I338" s="26"/>
      <c r="J338" s="26"/>
      <c r="K338" s="26"/>
      <c r="L338" s="26"/>
      <c r="M338" s="26"/>
      <c r="N338" s="26"/>
      <c r="O338" s="26"/>
      <c r="P338" s="26"/>
      <c r="Q338" s="26"/>
      <c r="R338" s="26"/>
      <c r="S338" s="26"/>
      <c r="T338" s="26"/>
      <c r="U338" s="26"/>
      <c r="V338" s="26"/>
      <c r="W338" s="26"/>
    </row>
    <row r="339" spans="1:23">
      <c r="A339" s="26"/>
      <c r="B339" s="26"/>
      <c r="C339" s="26"/>
      <c r="D339" s="26"/>
      <c r="E339" s="26"/>
      <c r="F339" s="26"/>
      <c r="G339" s="26"/>
      <c r="H339" s="26"/>
      <c r="I339" s="26"/>
      <c r="J339" s="26"/>
      <c r="K339" s="26"/>
      <c r="L339" s="26"/>
      <c r="M339" s="26"/>
      <c r="N339" s="26"/>
      <c r="O339" s="26"/>
      <c r="P339" s="26"/>
      <c r="Q339" s="26"/>
      <c r="R339" s="26"/>
      <c r="S339" s="26"/>
      <c r="T339" s="26"/>
      <c r="U339" s="26"/>
      <c r="V339" s="26"/>
      <c r="W339" s="26"/>
    </row>
    <row r="340" spans="1:23">
      <c r="A340" s="26"/>
      <c r="B340" s="26"/>
      <c r="C340" s="26"/>
      <c r="D340" s="26"/>
      <c r="E340" s="26"/>
      <c r="F340" s="26"/>
      <c r="G340" s="26"/>
      <c r="H340" s="26"/>
      <c r="I340" s="26"/>
      <c r="J340" s="26"/>
      <c r="K340" s="26"/>
      <c r="L340" s="26"/>
      <c r="M340" s="26"/>
      <c r="N340" s="26"/>
      <c r="O340" s="26"/>
      <c r="P340" s="26"/>
      <c r="Q340" s="26"/>
      <c r="R340" s="26"/>
      <c r="S340" s="26"/>
      <c r="T340" s="26"/>
      <c r="U340" s="26"/>
      <c r="V340" s="26"/>
      <c r="W340" s="26"/>
    </row>
    <row r="341" spans="1:23">
      <c r="A341" s="26"/>
      <c r="B341" s="26"/>
      <c r="C341" s="26"/>
      <c r="D341" s="26"/>
      <c r="E341" s="26"/>
      <c r="F341" s="26"/>
      <c r="G341" s="26"/>
      <c r="H341" s="26"/>
      <c r="I341" s="26"/>
      <c r="J341" s="26"/>
      <c r="K341" s="26"/>
      <c r="L341" s="26"/>
      <c r="M341" s="26"/>
      <c r="N341" s="26"/>
      <c r="O341" s="26"/>
      <c r="P341" s="26"/>
      <c r="Q341" s="26"/>
      <c r="R341" s="26"/>
      <c r="S341" s="26"/>
      <c r="T341" s="26"/>
      <c r="U341" s="26"/>
      <c r="V341" s="26"/>
      <c r="W341" s="26"/>
    </row>
    <row r="342" spans="1:23">
      <c r="A342" s="26"/>
      <c r="B342" s="26"/>
      <c r="C342" s="26"/>
      <c r="D342" s="26"/>
      <c r="E342" s="26"/>
      <c r="F342" s="26"/>
      <c r="G342" s="26"/>
      <c r="H342" s="26"/>
      <c r="I342" s="26"/>
      <c r="J342" s="26"/>
      <c r="K342" s="26"/>
      <c r="L342" s="26"/>
      <c r="M342" s="26"/>
      <c r="N342" s="26"/>
      <c r="O342" s="26"/>
      <c r="P342" s="26"/>
      <c r="Q342" s="26"/>
      <c r="R342" s="26"/>
      <c r="S342" s="26"/>
      <c r="T342" s="26"/>
      <c r="U342" s="26"/>
      <c r="V342" s="26"/>
      <c r="W342" s="26"/>
    </row>
    <row r="343" spans="1:23">
      <c r="A343" s="26"/>
      <c r="B343" s="26"/>
      <c r="C343" s="26"/>
      <c r="D343" s="26"/>
      <c r="E343" s="26"/>
      <c r="F343" s="26"/>
      <c r="G343" s="26"/>
      <c r="H343" s="26"/>
      <c r="I343" s="26"/>
      <c r="J343" s="26"/>
      <c r="K343" s="26"/>
      <c r="L343" s="26"/>
      <c r="M343" s="26"/>
      <c r="N343" s="26"/>
      <c r="O343" s="26"/>
      <c r="P343" s="26"/>
      <c r="Q343" s="26"/>
      <c r="R343" s="26"/>
      <c r="S343" s="26"/>
      <c r="T343" s="26"/>
      <c r="U343" s="26"/>
      <c r="V343" s="26"/>
      <c r="W343" s="26"/>
    </row>
    <row r="344" spans="1:23">
      <c r="A344" s="26"/>
      <c r="B344" s="26"/>
      <c r="C344" s="26"/>
      <c r="D344" s="26"/>
      <c r="E344" s="26"/>
      <c r="F344" s="26"/>
      <c r="G344" s="26"/>
      <c r="H344" s="26"/>
      <c r="I344" s="26"/>
      <c r="J344" s="26"/>
      <c r="K344" s="26"/>
      <c r="L344" s="26"/>
      <c r="M344" s="26"/>
      <c r="N344" s="26"/>
      <c r="O344" s="26"/>
      <c r="P344" s="26"/>
      <c r="Q344" s="26"/>
      <c r="R344" s="26"/>
      <c r="S344" s="26"/>
      <c r="T344" s="26"/>
      <c r="U344" s="26"/>
      <c r="V344" s="26"/>
      <c r="W344" s="26"/>
    </row>
    <row r="345" spans="1:23">
      <c r="A345" s="26"/>
      <c r="B345" s="26"/>
      <c r="C345" s="26"/>
      <c r="D345" s="26"/>
      <c r="E345" s="26"/>
      <c r="F345" s="26"/>
      <c r="G345" s="26"/>
      <c r="H345" s="26"/>
      <c r="I345" s="26"/>
      <c r="J345" s="26"/>
      <c r="K345" s="26"/>
      <c r="L345" s="26"/>
      <c r="M345" s="26"/>
      <c r="N345" s="26"/>
      <c r="O345" s="26"/>
      <c r="P345" s="26"/>
      <c r="Q345" s="26"/>
      <c r="R345" s="26"/>
      <c r="S345" s="26"/>
      <c r="T345" s="26"/>
      <c r="U345" s="26"/>
      <c r="V345" s="26"/>
      <c r="W345" s="26"/>
    </row>
    <row r="346" spans="1:23">
      <c r="A346" s="26"/>
      <c r="B346" s="26"/>
      <c r="C346" s="26"/>
      <c r="D346" s="26"/>
      <c r="E346" s="26"/>
      <c r="F346" s="26"/>
      <c r="G346" s="26"/>
      <c r="H346" s="26"/>
      <c r="I346" s="26"/>
      <c r="J346" s="26"/>
      <c r="K346" s="26"/>
      <c r="L346" s="26"/>
      <c r="M346" s="26"/>
      <c r="N346" s="26"/>
      <c r="O346" s="26"/>
      <c r="P346" s="26"/>
      <c r="Q346" s="26"/>
      <c r="R346" s="26"/>
      <c r="S346" s="26"/>
      <c r="T346" s="26"/>
      <c r="U346" s="26"/>
      <c r="V346" s="26"/>
      <c r="W346" s="26"/>
    </row>
    <row r="347" spans="1:23">
      <c r="A347" s="26"/>
      <c r="B347" s="26"/>
      <c r="C347" s="26"/>
      <c r="D347" s="26"/>
      <c r="E347" s="26"/>
      <c r="F347" s="26"/>
      <c r="G347" s="26"/>
      <c r="H347" s="26"/>
      <c r="I347" s="26"/>
      <c r="J347" s="26"/>
      <c r="K347" s="26"/>
      <c r="L347" s="26"/>
      <c r="M347" s="26"/>
      <c r="N347" s="26"/>
      <c r="O347" s="26"/>
      <c r="P347" s="26"/>
      <c r="Q347" s="26"/>
      <c r="R347" s="26"/>
      <c r="S347" s="26"/>
      <c r="T347" s="26"/>
      <c r="U347" s="26"/>
      <c r="V347" s="26"/>
      <c r="W347" s="26"/>
    </row>
    <row r="348" spans="1:23">
      <c r="A348" s="26"/>
      <c r="B348" s="26"/>
      <c r="C348" s="26"/>
      <c r="D348" s="26"/>
      <c r="E348" s="26"/>
      <c r="F348" s="26"/>
      <c r="G348" s="26"/>
      <c r="H348" s="26"/>
      <c r="I348" s="26"/>
      <c r="J348" s="26"/>
      <c r="K348" s="26"/>
      <c r="L348" s="26"/>
      <c r="M348" s="26"/>
      <c r="N348" s="26"/>
      <c r="O348" s="26"/>
      <c r="P348" s="26"/>
      <c r="Q348" s="26"/>
      <c r="R348" s="26"/>
      <c r="S348" s="26"/>
      <c r="T348" s="26"/>
      <c r="U348" s="26"/>
      <c r="V348" s="26"/>
      <c r="W348" s="26"/>
    </row>
    <row r="349" spans="1:23">
      <c r="A349" s="26"/>
      <c r="B349" s="26"/>
      <c r="C349" s="26"/>
      <c r="D349" s="26"/>
      <c r="E349" s="26"/>
      <c r="F349" s="26"/>
      <c r="G349" s="26"/>
      <c r="H349" s="26"/>
      <c r="I349" s="26"/>
      <c r="J349" s="26"/>
      <c r="K349" s="26"/>
      <c r="L349" s="26"/>
      <c r="M349" s="26"/>
      <c r="N349" s="26"/>
      <c r="O349" s="26"/>
      <c r="P349" s="26"/>
      <c r="Q349" s="26"/>
      <c r="R349" s="26"/>
      <c r="S349" s="26"/>
      <c r="T349" s="26"/>
      <c r="U349" s="26"/>
      <c r="V349" s="26"/>
      <c r="W349" s="26"/>
    </row>
    <row r="350" spans="1:23">
      <c r="A350" s="26"/>
      <c r="B350" s="26"/>
      <c r="C350" s="26"/>
      <c r="D350" s="26"/>
      <c r="E350" s="26"/>
      <c r="F350" s="26"/>
      <c r="G350" s="26"/>
      <c r="H350" s="26"/>
      <c r="I350" s="26"/>
      <c r="J350" s="26"/>
      <c r="K350" s="26"/>
      <c r="L350" s="26"/>
      <c r="M350" s="26"/>
      <c r="N350" s="26"/>
      <c r="O350" s="26"/>
      <c r="P350" s="26"/>
      <c r="Q350" s="26"/>
      <c r="R350" s="26"/>
      <c r="S350" s="26"/>
      <c r="T350" s="26"/>
      <c r="U350" s="26"/>
      <c r="V350" s="26"/>
      <c r="W350" s="26"/>
    </row>
    <row r="351" spans="1:23">
      <c r="A351" s="26"/>
      <c r="B351" s="26"/>
      <c r="C351" s="26"/>
      <c r="D351" s="26"/>
      <c r="E351" s="26"/>
      <c r="F351" s="26"/>
      <c r="G351" s="26"/>
      <c r="H351" s="26"/>
      <c r="I351" s="26"/>
      <c r="J351" s="26"/>
      <c r="K351" s="26"/>
      <c r="L351" s="26"/>
      <c r="M351" s="26"/>
      <c r="N351" s="26"/>
      <c r="O351" s="26"/>
      <c r="P351" s="26"/>
      <c r="Q351" s="26"/>
      <c r="R351" s="26"/>
      <c r="S351" s="26"/>
      <c r="T351" s="26"/>
      <c r="U351" s="26"/>
      <c r="V351" s="26"/>
      <c r="W351" s="26"/>
    </row>
    <row r="352" spans="1:23">
      <c r="A352" s="26"/>
      <c r="B352" s="26"/>
      <c r="C352" s="26"/>
      <c r="D352" s="26"/>
      <c r="E352" s="26"/>
      <c r="F352" s="26"/>
      <c r="G352" s="26"/>
      <c r="H352" s="26"/>
      <c r="I352" s="26"/>
      <c r="J352" s="26"/>
      <c r="K352" s="26"/>
      <c r="L352" s="26"/>
      <c r="M352" s="26"/>
      <c r="N352" s="26"/>
      <c r="O352" s="26"/>
      <c r="P352" s="26"/>
      <c r="Q352" s="26"/>
      <c r="R352" s="26"/>
      <c r="S352" s="26"/>
      <c r="T352" s="26"/>
      <c r="U352" s="26"/>
      <c r="V352" s="26"/>
      <c r="W352" s="26"/>
    </row>
    <row r="353" spans="1:23">
      <c r="A353" s="26"/>
      <c r="B353" s="26"/>
      <c r="C353" s="26"/>
      <c r="D353" s="26"/>
      <c r="E353" s="26"/>
      <c r="F353" s="26"/>
      <c r="G353" s="26"/>
      <c r="H353" s="26"/>
      <c r="I353" s="26"/>
      <c r="J353" s="26"/>
      <c r="K353" s="26"/>
      <c r="L353" s="26"/>
      <c r="M353" s="26"/>
      <c r="N353" s="26"/>
      <c r="O353" s="26"/>
      <c r="P353" s="26"/>
      <c r="Q353" s="26"/>
      <c r="R353" s="26"/>
      <c r="S353" s="26"/>
      <c r="T353" s="26"/>
      <c r="U353" s="26"/>
      <c r="V353" s="26"/>
      <c r="W353" s="26"/>
    </row>
    <row r="354" spans="1:23">
      <c r="A354" s="26"/>
      <c r="B354" s="26"/>
      <c r="C354" s="26"/>
      <c r="D354" s="26"/>
      <c r="E354" s="26"/>
      <c r="F354" s="26"/>
      <c r="G354" s="26"/>
      <c r="H354" s="26"/>
      <c r="I354" s="26"/>
      <c r="J354" s="26"/>
      <c r="K354" s="26"/>
      <c r="L354" s="26"/>
      <c r="M354" s="26"/>
      <c r="N354" s="26"/>
      <c r="O354" s="26"/>
      <c r="P354" s="26"/>
      <c r="Q354" s="26"/>
      <c r="R354" s="26"/>
      <c r="S354" s="26"/>
      <c r="T354" s="26"/>
      <c r="U354" s="26"/>
      <c r="V354" s="26"/>
      <c r="W354" s="26"/>
    </row>
    <row r="355" spans="1:23">
      <c r="A355" s="26"/>
      <c r="B355" s="26"/>
      <c r="C355" s="26"/>
      <c r="D355" s="26"/>
      <c r="E355" s="26"/>
      <c r="F355" s="26"/>
      <c r="G355" s="26"/>
      <c r="H355" s="26"/>
      <c r="I355" s="26"/>
      <c r="J355" s="26"/>
      <c r="K355" s="26"/>
      <c r="L355" s="26"/>
      <c r="M355" s="26"/>
      <c r="N355" s="26"/>
      <c r="O355" s="26"/>
      <c r="P355" s="26"/>
      <c r="Q355" s="26"/>
      <c r="R355" s="26"/>
      <c r="S355" s="26"/>
      <c r="T355" s="26"/>
      <c r="U355" s="26"/>
      <c r="V355" s="26"/>
      <c r="W355" s="26"/>
    </row>
    <row r="356" spans="1:23">
      <c r="A356" s="26"/>
      <c r="B356" s="26"/>
      <c r="C356" s="26"/>
      <c r="D356" s="26"/>
      <c r="E356" s="26"/>
      <c r="F356" s="26"/>
      <c r="G356" s="26"/>
      <c r="H356" s="26"/>
      <c r="I356" s="26"/>
      <c r="J356" s="26"/>
      <c r="K356" s="26"/>
      <c r="L356" s="26"/>
      <c r="M356" s="26"/>
      <c r="N356" s="26"/>
      <c r="O356" s="26"/>
      <c r="P356" s="26"/>
      <c r="Q356" s="26"/>
      <c r="R356" s="26"/>
      <c r="S356" s="26"/>
      <c r="T356" s="26"/>
      <c r="U356" s="26"/>
      <c r="V356" s="26"/>
      <c r="W356" s="26"/>
    </row>
    <row r="357" spans="1:23">
      <c r="A357" s="26"/>
      <c r="B357" s="26"/>
      <c r="C357" s="26"/>
      <c r="D357" s="26"/>
      <c r="E357" s="26"/>
      <c r="F357" s="26"/>
      <c r="G357" s="26"/>
      <c r="H357" s="26"/>
      <c r="I357" s="26"/>
      <c r="J357" s="26"/>
      <c r="K357" s="26"/>
      <c r="L357" s="26"/>
      <c r="M357" s="26"/>
      <c r="N357" s="26"/>
      <c r="O357" s="26"/>
      <c r="P357" s="26"/>
      <c r="Q357" s="26"/>
      <c r="R357" s="26"/>
      <c r="S357" s="26"/>
      <c r="T357" s="26"/>
      <c r="U357" s="26"/>
      <c r="V357" s="26"/>
      <c r="W357" s="26"/>
    </row>
    <row r="358" spans="1:23">
      <c r="A358" s="26"/>
      <c r="B358" s="26"/>
      <c r="C358" s="26"/>
      <c r="D358" s="26"/>
      <c r="E358" s="26"/>
      <c r="F358" s="26"/>
      <c r="G358" s="26"/>
      <c r="H358" s="26"/>
      <c r="I358" s="26"/>
      <c r="J358" s="26"/>
      <c r="K358" s="26"/>
      <c r="L358" s="26"/>
      <c r="M358" s="26"/>
      <c r="N358" s="26"/>
      <c r="O358" s="26"/>
      <c r="P358" s="26"/>
      <c r="Q358" s="26"/>
      <c r="R358" s="26"/>
      <c r="S358" s="26"/>
      <c r="T358" s="26"/>
      <c r="U358" s="26"/>
      <c r="V358" s="26"/>
      <c r="W358" s="26"/>
    </row>
    <row r="359" spans="1:23">
      <c r="A359" s="26"/>
      <c r="B359" s="26"/>
      <c r="C359" s="26"/>
      <c r="D359" s="26"/>
      <c r="E359" s="26"/>
      <c r="F359" s="26"/>
      <c r="G359" s="26"/>
      <c r="H359" s="26"/>
      <c r="I359" s="26"/>
      <c r="J359" s="26"/>
      <c r="K359" s="26"/>
      <c r="L359" s="26"/>
      <c r="M359" s="26"/>
      <c r="N359" s="26"/>
      <c r="O359" s="26"/>
      <c r="P359" s="26"/>
      <c r="Q359" s="26"/>
      <c r="R359" s="26"/>
      <c r="S359" s="26"/>
      <c r="T359" s="26"/>
      <c r="U359" s="26"/>
      <c r="V359" s="26"/>
      <c r="W359" s="26"/>
    </row>
    <row r="360" spans="1:23">
      <c r="A360" s="26"/>
      <c r="B360" s="26"/>
      <c r="C360" s="26"/>
      <c r="D360" s="26"/>
      <c r="E360" s="26"/>
      <c r="F360" s="26"/>
      <c r="G360" s="26"/>
      <c r="H360" s="26"/>
      <c r="I360" s="26"/>
      <c r="J360" s="26"/>
      <c r="K360" s="26"/>
      <c r="L360" s="26"/>
      <c r="M360" s="26"/>
      <c r="N360" s="26"/>
      <c r="O360" s="26"/>
      <c r="P360" s="26"/>
      <c r="Q360" s="26"/>
      <c r="R360" s="26"/>
      <c r="S360" s="26"/>
      <c r="T360" s="26"/>
      <c r="U360" s="26"/>
      <c r="V360" s="26"/>
      <c r="W360" s="26"/>
    </row>
    <row r="361" spans="1:23">
      <c r="A361" s="26"/>
      <c r="B361" s="26"/>
      <c r="C361" s="26"/>
      <c r="D361" s="26"/>
      <c r="E361" s="26"/>
      <c r="F361" s="26"/>
      <c r="G361" s="26"/>
      <c r="H361" s="26"/>
      <c r="I361" s="26"/>
      <c r="J361" s="26"/>
      <c r="K361" s="26"/>
      <c r="L361" s="26"/>
      <c r="M361" s="26"/>
      <c r="N361" s="26"/>
      <c r="O361" s="26"/>
      <c r="P361" s="26"/>
      <c r="Q361" s="26"/>
      <c r="R361" s="26"/>
      <c r="S361" s="26"/>
      <c r="T361" s="26"/>
      <c r="U361" s="26"/>
      <c r="V361" s="26"/>
      <c r="W361" s="26"/>
    </row>
    <row r="362" spans="1:23">
      <c r="A362" s="26"/>
      <c r="B362" s="26"/>
      <c r="C362" s="26"/>
      <c r="D362" s="26"/>
      <c r="E362" s="26"/>
      <c r="F362" s="26"/>
      <c r="G362" s="26"/>
      <c r="H362" s="26"/>
      <c r="I362" s="26"/>
      <c r="J362" s="26"/>
      <c r="K362" s="26"/>
      <c r="L362" s="26"/>
      <c r="M362" s="26"/>
      <c r="N362" s="26"/>
      <c r="O362" s="26"/>
      <c r="P362" s="26"/>
      <c r="Q362" s="26"/>
      <c r="R362" s="26"/>
      <c r="S362" s="26"/>
      <c r="T362" s="26"/>
      <c r="U362" s="26"/>
      <c r="V362" s="26"/>
      <c r="W362" s="26"/>
    </row>
    <row r="363" spans="1:23">
      <c r="A363" s="26"/>
      <c r="B363" s="26"/>
      <c r="C363" s="26"/>
      <c r="D363" s="26"/>
      <c r="E363" s="26"/>
      <c r="F363" s="26"/>
      <c r="G363" s="26"/>
      <c r="H363" s="26"/>
      <c r="I363" s="26"/>
      <c r="J363" s="26"/>
      <c r="K363" s="26"/>
      <c r="L363" s="26"/>
      <c r="M363" s="26"/>
      <c r="N363" s="26"/>
      <c r="O363" s="26"/>
      <c r="P363" s="26"/>
      <c r="Q363" s="26"/>
      <c r="R363" s="26"/>
      <c r="S363" s="26"/>
      <c r="T363" s="26"/>
      <c r="U363" s="26"/>
      <c r="V363" s="26"/>
      <c r="W363" s="26"/>
    </row>
    <row r="364" spans="1:23">
      <c r="A364" s="26"/>
      <c r="B364" s="26"/>
      <c r="C364" s="26"/>
      <c r="D364" s="26"/>
      <c r="E364" s="26"/>
      <c r="F364" s="26"/>
      <c r="G364" s="26"/>
      <c r="H364" s="26"/>
      <c r="I364" s="26"/>
      <c r="J364" s="26"/>
      <c r="K364" s="26"/>
      <c r="L364" s="26"/>
      <c r="M364" s="26"/>
      <c r="N364" s="26"/>
      <c r="O364" s="26"/>
      <c r="P364" s="26"/>
      <c r="Q364" s="26"/>
      <c r="R364" s="26"/>
      <c r="S364" s="26"/>
      <c r="T364" s="26"/>
      <c r="U364" s="26"/>
      <c r="V364" s="26"/>
      <c r="W364" s="26"/>
    </row>
    <row r="365" spans="1:23">
      <c r="A365" s="26"/>
      <c r="B365" s="26"/>
      <c r="C365" s="26"/>
      <c r="D365" s="26"/>
      <c r="E365" s="26"/>
      <c r="F365" s="26"/>
      <c r="G365" s="26"/>
      <c r="H365" s="26"/>
      <c r="I365" s="26"/>
      <c r="J365" s="26"/>
      <c r="K365" s="26"/>
      <c r="L365" s="26"/>
      <c r="M365" s="26"/>
      <c r="N365" s="26"/>
      <c r="O365" s="26"/>
      <c r="P365" s="26"/>
      <c r="Q365" s="26"/>
      <c r="R365" s="26"/>
      <c r="S365" s="26"/>
      <c r="T365" s="26"/>
      <c r="U365" s="26"/>
      <c r="V365" s="26"/>
      <c r="W365" s="26"/>
    </row>
    <row r="366" spans="1:23">
      <c r="A366" s="26"/>
      <c r="B366" s="26"/>
      <c r="C366" s="26"/>
      <c r="D366" s="26"/>
      <c r="E366" s="26"/>
      <c r="F366" s="26"/>
      <c r="G366" s="26"/>
      <c r="H366" s="26"/>
      <c r="I366" s="26"/>
      <c r="J366" s="26"/>
      <c r="K366" s="26"/>
      <c r="L366" s="26"/>
      <c r="M366" s="26"/>
      <c r="N366" s="26"/>
      <c r="O366" s="26"/>
      <c r="P366" s="26"/>
      <c r="Q366" s="26"/>
      <c r="R366" s="26"/>
      <c r="S366" s="26"/>
      <c r="T366" s="26"/>
      <c r="U366" s="26"/>
      <c r="V366" s="26"/>
      <c r="W366" s="26"/>
    </row>
    <row r="367" spans="1:23">
      <c r="A367" s="26"/>
      <c r="B367" s="26"/>
      <c r="C367" s="26"/>
      <c r="D367" s="26"/>
      <c r="E367" s="26"/>
      <c r="F367" s="26"/>
      <c r="G367" s="26"/>
      <c r="H367" s="26"/>
      <c r="I367" s="26"/>
      <c r="J367" s="26"/>
      <c r="K367" s="26"/>
      <c r="L367" s="26"/>
      <c r="M367" s="26"/>
      <c r="N367" s="26"/>
      <c r="O367" s="26"/>
      <c r="P367" s="26"/>
      <c r="Q367" s="26"/>
      <c r="R367" s="26"/>
      <c r="S367" s="26"/>
      <c r="T367" s="26"/>
      <c r="U367" s="26"/>
      <c r="V367" s="26"/>
      <c r="W367" s="26"/>
    </row>
    <row r="368" spans="1:23">
      <c r="A368" s="26"/>
      <c r="B368" s="26"/>
      <c r="C368" s="26"/>
      <c r="D368" s="26"/>
      <c r="E368" s="26"/>
      <c r="F368" s="26"/>
      <c r="G368" s="26"/>
      <c r="H368" s="26"/>
      <c r="I368" s="26"/>
      <c r="J368" s="26"/>
      <c r="K368" s="26"/>
      <c r="L368" s="26"/>
      <c r="M368" s="26"/>
      <c r="N368" s="26"/>
      <c r="O368" s="26"/>
      <c r="P368" s="26"/>
      <c r="Q368" s="26"/>
      <c r="R368" s="26"/>
      <c r="S368" s="26"/>
      <c r="T368" s="26"/>
      <c r="U368" s="26"/>
      <c r="V368" s="26"/>
      <c r="W368" s="26"/>
    </row>
    <row r="369" spans="1:23">
      <c r="A369" s="26"/>
      <c r="B369" s="26"/>
      <c r="C369" s="26"/>
      <c r="D369" s="26"/>
      <c r="E369" s="26"/>
      <c r="F369" s="26"/>
      <c r="G369" s="26"/>
      <c r="H369" s="26"/>
      <c r="I369" s="26"/>
      <c r="J369" s="26"/>
      <c r="K369" s="26"/>
      <c r="L369" s="26"/>
      <c r="M369" s="26"/>
      <c r="N369" s="26"/>
      <c r="O369" s="26"/>
      <c r="P369" s="26"/>
      <c r="Q369" s="26"/>
      <c r="R369" s="26"/>
      <c r="S369" s="26"/>
      <c r="T369" s="26"/>
      <c r="U369" s="26"/>
      <c r="V369" s="26"/>
      <c r="W369" s="26"/>
    </row>
    <row r="370" spans="1:23">
      <c r="A370" s="26"/>
      <c r="B370" s="26"/>
      <c r="C370" s="26"/>
      <c r="D370" s="26"/>
      <c r="E370" s="26"/>
      <c r="F370" s="26"/>
      <c r="G370" s="26"/>
      <c r="H370" s="26"/>
      <c r="I370" s="26"/>
      <c r="J370" s="26"/>
      <c r="K370" s="26"/>
      <c r="L370" s="26"/>
      <c r="M370" s="26"/>
      <c r="N370" s="26"/>
      <c r="O370" s="26"/>
      <c r="P370" s="26"/>
      <c r="Q370" s="26"/>
      <c r="R370" s="26"/>
      <c r="S370" s="26"/>
      <c r="T370" s="26"/>
      <c r="U370" s="26"/>
      <c r="V370" s="26"/>
      <c r="W370" s="26"/>
    </row>
    <row r="371" spans="1:23">
      <c r="A371" s="26"/>
      <c r="B371" s="26"/>
      <c r="C371" s="26"/>
      <c r="D371" s="26"/>
      <c r="E371" s="26"/>
      <c r="F371" s="26"/>
      <c r="G371" s="26"/>
      <c r="H371" s="26"/>
      <c r="I371" s="26"/>
      <c r="J371" s="26"/>
      <c r="K371" s="26"/>
      <c r="L371" s="26"/>
      <c r="M371" s="26"/>
      <c r="N371" s="26"/>
      <c r="O371" s="26"/>
      <c r="P371" s="26"/>
      <c r="Q371" s="26"/>
      <c r="R371" s="26"/>
      <c r="S371" s="26"/>
      <c r="T371" s="26"/>
      <c r="U371" s="26"/>
      <c r="V371" s="26"/>
      <c r="W371" s="26"/>
    </row>
    <row r="372" spans="1:23">
      <c r="A372" s="26"/>
      <c r="B372" s="26"/>
      <c r="C372" s="26"/>
      <c r="D372" s="26"/>
      <c r="E372" s="26"/>
      <c r="F372" s="26"/>
      <c r="G372" s="26"/>
      <c r="H372" s="26"/>
      <c r="I372" s="26"/>
      <c r="J372" s="26"/>
      <c r="K372" s="26"/>
      <c r="L372" s="26"/>
      <c r="M372" s="26"/>
      <c r="N372" s="26"/>
      <c r="O372" s="26"/>
      <c r="P372" s="26"/>
      <c r="Q372" s="26"/>
      <c r="R372" s="26"/>
      <c r="S372" s="26"/>
      <c r="T372" s="26"/>
      <c r="U372" s="26"/>
      <c r="V372" s="26"/>
      <c r="W372" s="26"/>
    </row>
    <row r="373" spans="1:23">
      <c r="A373" s="26"/>
      <c r="B373" s="26"/>
      <c r="C373" s="26"/>
      <c r="D373" s="26"/>
      <c r="E373" s="26"/>
      <c r="F373" s="26"/>
      <c r="G373" s="26"/>
      <c r="H373" s="26"/>
      <c r="I373" s="26"/>
      <c r="J373" s="26"/>
      <c r="K373" s="26"/>
      <c r="L373" s="26"/>
      <c r="M373" s="26"/>
      <c r="N373" s="26"/>
      <c r="O373" s="26"/>
      <c r="P373" s="26"/>
      <c r="Q373" s="26"/>
      <c r="R373" s="26"/>
      <c r="S373" s="26"/>
      <c r="T373" s="26"/>
      <c r="U373" s="26"/>
      <c r="V373" s="26"/>
      <c r="W373" s="26"/>
    </row>
    <row r="374" spans="1:23">
      <c r="A374" s="26"/>
      <c r="B374" s="26"/>
      <c r="C374" s="26"/>
      <c r="D374" s="26"/>
      <c r="E374" s="26"/>
      <c r="F374" s="26"/>
      <c r="G374" s="26"/>
      <c r="H374" s="26"/>
      <c r="I374" s="26"/>
      <c r="J374" s="26"/>
      <c r="K374" s="26"/>
      <c r="L374" s="26"/>
      <c r="M374" s="26"/>
      <c r="N374" s="26"/>
      <c r="O374" s="26"/>
      <c r="P374" s="26"/>
      <c r="Q374" s="26"/>
      <c r="R374" s="26"/>
      <c r="S374" s="26"/>
      <c r="T374" s="26"/>
      <c r="U374" s="26"/>
      <c r="V374" s="26"/>
      <c r="W374" s="26"/>
    </row>
    <row r="375" spans="1:23">
      <c r="A375" s="26"/>
      <c r="B375" s="26"/>
      <c r="C375" s="26"/>
      <c r="D375" s="26"/>
      <c r="E375" s="26"/>
      <c r="F375" s="26"/>
      <c r="G375" s="26"/>
      <c r="H375" s="26"/>
      <c r="I375" s="26"/>
      <c r="J375" s="26"/>
      <c r="K375" s="26"/>
      <c r="L375" s="26"/>
      <c r="M375" s="26"/>
      <c r="N375" s="26"/>
      <c r="O375" s="26"/>
      <c r="P375" s="26"/>
      <c r="Q375" s="26"/>
      <c r="R375" s="26"/>
      <c r="S375" s="26"/>
      <c r="T375" s="26"/>
      <c r="U375" s="26"/>
      <c r="V375" s="26"/>
      <c r="W375" s="26"/>
    </row>
    <row r="376" spans="1:23">
      <c r="A376" s="26"/>
      <c r="B376" s="26"/>
      <c r="C376" s="26"/>
      <c r="D376" s="26"/>
      <c r="E376" s="26"/>
      <c r="F376" s="26"/>
      <c r="G376" s="26"/>
      <c r="H376" s="26"/>
      <c r="I376" s="26"/>
      <c r="J376" s="26"/>
      <c r="K376" s="26"/>
      <c r="L376" s="26"/>
      <c r="M376" s="26"/>
      <c r="N376" s="26"/>
      <c r="O376" s="26"/>
      <c r="P376" s="26"/>
      <c r="Q376" s="26"/>
      <c r="R376" s="26"/>
      <c r="S376" s="26"/>
      <c r="T376" s="26"/>
      <c r="U376" s="26"/>
      <c r="V376" s="26"/>
      <c r="W376" s="26"/>
    </row>
    <row r="377" spans="1:23">
      <c r="A377" s="26"/>
      <c r="B377" s="26"/>
      <c r="C377" s="26"/>
      <c r="D377" s="26"/>
      <c r="E377" s="26"/>
      <c r="F377" s="26"/>
      <c r="G377" s="26"/>
      <c r="H377" s="26"/>
      <c r="I377" s="26"/>
      <c r="J377" s="26"/>
      <c r="K377" s="26"/>
      <c r="L377" s="26"/>
      <c r="M377" s="26"/>
      <c r="N377" s="26"/>
      <c r="O377" s="26"/>
      <c r="P377" s="26"/>
      <c r="Q377" s="26"/>
      <c r="R377" s="26"/>
      <c r="S377" s="26"/>
      <c r="T377" s="26"/>
      <c r="U377" s="26"/>
      <c r="V377" s="26"/>
      <c r="W377" s="26"/>
    </row>
    <row r="378" spans="1:23">
      <c r="A378" s="26"/>
      <c r="B378" s="26"/>
      <c r="C378" s="26"/>
      <c r="D378" s="26"/>
      <c r="E378" s="26"/>
      <c r="F378" s="26"/>
      <c r="G378" s="26"/>
      <c r="H378" s="26"/>
      <c r="I378" s="26"/>
      <c r="J378" s="26"/>
      <c r="K378" s="26"/>
      <c r="L378" s="26"/>
      <c r="M378" s="26"/>
      <c r="N378" s="26"/>
      <c r="O378" s="26"/>
      <c r="P378" s="26"/>
      <c r="Q378" s="26"/>
      <c r="R378" s="26"/>
      <c r="S378" s="26"/>
      <c r="T378" s="26"/>
      <c r="U378" s="26"/>
      <c r="V378" s="26"/>
      <c r="W378" s="26"/>
    </row>
    <row r="379" spans="1:23">
      <c r="A379" s="26"/>
      <c r="B379" s="26"/>
      <c r="C379" s="26"/>
      <c r="D379" s="26"/>
      <c r="E379" s="26"/>
      <c r="F379" s="26"/>
      <c r="G379" s="26"/>
      <c r="H379" s="26"/>
      <c r="I379" s="26"/>
      <c r="J379" s="26"/>
      <c r="K379" s="26"/>
      <c r="L379" s="26"/>
      <c r="M379" s="26"/>
      <c r="N379" s="26"/>
      <c r="O379" s="26"/>
      <c r="P379" s="26"/>
      <c r="Q379" s="26"/>
      <c r="R379" s="26"/>
      <c r="S379" s="26"/>
      <c r="T379" s="26"/>
      <c r="U379" s="26"/>
      <c r="V379" s="26"/>
      <c r="W379" s="26"/>
    </row>
    <row r="380" spans="1:23">
      <c r="A380" s="26"/>
      <c r="B380" s="26"/>
      <c r="C380" s="26"/>
      <c r="D380" s="26"/>
      <c r="E380" s="26"/>
      <c r="F380" s="26"/>
      <c r="G380" s="26"/>
      <c r="H380" s="26"/>
      <c r="I380" s="26"/>
      <c r="J380" s="26"/>
      <c r="K380" s="26"/>
      <c r="L380" s="26"/>
      <c r="M380" s="26"/>
      <c r="N380" s="26"/>
      <c r="O380" s="26"/>
      <c r="P380" s="26"/>
      <c r="Q380" s="26"/>
      <c r="R380" s="26"/>
      <c r="S380" s="26"/>
      <c r="T380" s="26"/>
      <c r="U380" s="26"/>
      <c r="V380" s="26"/>
      <c r="W380" s="26"/>
    </row>
    <row r="381" spans="1:23">
      <c r="A381" s="26"/>
      <c r="B381" s="26"/>
      <c r="C381" s="26"/>
      <c r="D381" s="26"/>
      <c r="E381" s="26"/>
      <c r="F381" s="26"/>
      <c r="G381" s="26"/>
      <c r="H381" s="26"/>
      <c r="I381" s="26"/>
      <c r="J381" s="26"/>
      <c r="K381" s="26"/>
      <c r="L381" s="26"/>
      <c r="M381" s="26"/>
      <c r="N381" s="26"/>
      <c r="O381" s="26"/>
      <c r="P381" s="26"/>
      <c r="Q381" s="26"/>
      <c r="R381" s="26"/>
      <c r="S381" s="26"/>
      <c r="T381" s="26"/>
      <c r="U381" s="26"/>
      <c r="V381" s="26"/>
      <c r="W381" s="26"/>
    </row>
    <row r="382" spans="1:23">
      <c r="A382" s="26"/>
      <c r="B382" s="26"/>
      <c r="C382" s="26"/>
      <c r="D382" s="26"/>
      <c r="E382" s="26"/>
      <c r="F382" s="26"/>
      <c r="G382" s="26"/>
      <c r="H382" s="26"/>
      <c r="I382" s="26"/>
      <c r="J382" s="26"/>
      <c r="K382" s="26"/>
      <c r="L382" s="26"/>
      <c r="M382" s="26"/>
      <c r="N382" s="26"/>
      <c r="O382" s="26"/>
      <c r="P382" s="26"/>
      <c r="Q382" s="26"/>
      <c r="R382" s="26"/>
      <c r="S382" s="26"/>
      <c r="T382" s="26"/>
      <c r="U382" s="26"/>
      <c r="V382" s="26"/>
      <c r="W382" s="26"/>
    </row>
    <row r="383" spans="1:23">
      <c r="A383" s="26"/>
      <c r="B383" s="26"/>
      <c r="C383" s="26"/>
      <c r="D383" s="26"/>
      <c r="E383" s="26"/>
      <c r="F383" s="26"/>
      <c r="G383" s="26"/>
      <c r="H383" s="26"/>
      <c r="I383" s="26"/>
      <c r="J383" s="26"/>
      <c r="K383" s="26"/>
      <c r="L383" s="26"/>
      <c r="M383" s="26"/>
      <c r="N383" s="26"/>
      <c r="O383" s="26"/>
      <c r="P383" s="26"/>
      <c r="Q383" s="26"/>
      <c r="R383" s="26"/>
      <c r="S383" s="26"/>
      <c r="T383" s="26"/>
      <c r="U383" s="26"/>
      <c r="V383" s="26"/>
      <c r="W383" s="26"/>
    </row>
    <row r="384" spans="1:23">
      <c r="A384" s="26"/>
      <c r="B384" s="26"/>
      <c r="C384" s="26"/>
      <c r="D384" s="26"/>
      <c r="E384" s="26"/>
      <c r="F384" s="26"/>
      <c r="G384" s="26"/>
      <c r="H384" s="26"/>
      <c r="I384" s="26"/>
      <c r="J384" s="26"/>
      <c r="K384" s="26"/>
      <c r="L384" s="26"/>
      <c r="M384" s="26"/>
      <c r="N384" s="26"/>
      <c r="O384" s="26"/>
      <c r="P384" s="26"/>
      <c r="Q384" s="26"/>
      <c r="R384" s="26"/>
      <c r="S384" s="26"/>
      <c r="T384" s="26"/>
      <c r="U384" s="26"/>
      <c r="V384" s="26"/>
      <c r="W384" s="26"/>
    </row>
    <row r="385" spans="1:23">
      <c r="A385" s="26"/>
      <c r="B385" s="26"/>
      <c r="C385" s="26"/>
      <c r="D385" s="26"/>
      <c r="E385" s="26"/>
      <c r="F385" s="26"/>
      <c r="G385" s="26"/>
      <c r="H385" s="26"/>
      <c r="I385" s="26"/>
      <c r="J385" s="26"/>
      <c r="K385" s="26"/>
      <c r="L385" s="26"/>
      <c r="M385" s="26"/>
      <c r="N385" s="26"/>
      <c r="O385" s="26"/>
      <c r="P385" s="26"/>
      <c r="Q385" s="26"/>
      <c r="R385" s="26"/>
      <c r="S385" s="26"/>
      <c r="T385" s="26"/>
      <c r="U385" s="26"/>
      <c r="V385" s="26"/>
      <c r="W385" s="26"/>
    </row>
    <row r="386" spans="1:23">
      <c r="A386" s="26"/>
      <c r="B386" s="26"/>
      <c r="C386" s="26"/>
      <c r="D386" s="26"/>
      <c r="E386" s="26"/>
      <c r="F386" s="26"/>
      <c r="G386" s="26"/>
      <c r="H386" s="26"/>
      <c r="I386" s="26"/>
      <c r="J386" s="26"/>
      <c r="K386" s="26"/>
      <c r="L386" s="26"/>
      <c r="M386" s="26"/>
      <c r="N386" s="26"/>
      <c r="O386" s="26"/>
      <c r="P386" s="26"/>
      <c r="Q386" s="26"/>
      <c r="R386" s="26"/>
      <c r="S386" s="26"/>
      <c r="T386" s="26"/>
      <c r="U386" s="26"/>
      <c r="V386" s="26"/>
      <c r="W386" s="26"/>
    </row>
    <row r="387" spans="1:23">
      <c r="A387" s="26"/>
      <c r="B387" s="26"/>
      <c r="C387" s="26"/>
      <c r="D387" s="26"/>
      <c r="E387" s="26"/>
      <c r="F387" s="26"/>
      <c r="G387" s="26"/>
      <c r="H387" s="26"/>
      <c r="I387" s="26"/>
      <c r="J387" s="26"/>
      <c r="K387" s="26"/>
      <c r="L387" s="26"/>
      <c r="M387" s="26"/>
      <c r="N387" s="26"/>
      <c r="O387" s="26"/>
      <c r="P387" s="26"/>
      <c r="Q387" s="26"/>
      <c r="R387" s="26"/>
      <c r="S387" s="26"/>
      <c r="T387" s="26"/>
      <c r="U387" s="26"/>
      <c r="V387" s="26"/>
      <c r="W387" s="26"/>
    </row>
    <row r="388" spans="1:23">
      <c r="A388" s="26"/>
      <c r="B388" s="26"/>
      <c r="C388" s="26"/>
      <c r="D388" s="26"/>
      <c r="E388" s="26"/>
      <c r="F388" s="26"/>
      <c r="G388" s="26"/>
      <c r="H388" s="26"/>
      <c r="I388" s="26"/>
      <c r="J388" s="26"/>
      <c r="K388" s="26"/>
      <c r="L388" s="26"/>
      <c r="M388" s="26"/>
      <c r="N388" s="26"/>
      <c r="O388" s="26"/>
      <c r="P388" s="26"/>
      <c r="Q388" s="26"/>
      <c r="R388" s="26"/>
      <c r="S388" s="26"/>
      <c r="T388" s="26"/>
      <c r="U388" s="26"/>
      <c r="V388" s="26"/>
      <c r="W388" s="26"/>
    </row>
    <row r="389" spans="1:23">
      <c r="A389" s="26"/>
      <c r="B389" s="26"/>
      <c r="C389" s="26"/>
      <c r="D389" s="26"/>
      <c r="E389" s="26"/>
      <c r="F389" s="26"/>
      <c r="G389" s="26"/>
      <c r="H389" s="26"/>
      <c r="I389" s="26"/>
      <c r="J389" s="26"/>
      <c r="K389" s="26"/>
      <c r="L389" s="26"/>
      <c r="M389" s="26"/>
      <c r="N389" s="26"/>
      <c r="O389" s="26"/>
      <c r="P389" s="26"/>
      <c r="Q389" s="26"/>
      <c r="R389" s="26"/>
      <c r="S389" s="26"/>
      <c r="T389" s="26"/>
      <c r="U389" s="26"/>
      <c r="V389" s="26"/>
      <c r="W389" s="26"/>
    </row>
    <row r="390" spans="1:23">
      <c r="A390" s="26"/>
      <c r="B390" s="26"/>
      <c r="C390" s="26"/>
      <c r="D390" s="26"/>
      <c r="E390" s="26"/>
      <c r="F390" s="26"/>
      <c r="G390" s="26"/>
      <c r="H390" s="26"/>
      <c r="I390" s="26"/>
      <c r="J390" s="26"/>
      <c r="K390" s="26"/>
      <c r="L390" s="26"/>
      <c r="M390" s="26"/>
      <c r="N390" s="26"/>
      <c r="O390" s="26"/>
      <c r="P390" s="26"/>
      <c r="Q390" s="26"/>
      <c r="R390" s="26"/>
      <c r="S390" s="26"/>
      <c r="T390" s="26"/>
      <c r="U390" s="26"/>
      <c r="V390" s="26"/>
      <c r="W390" s="26"/>
    </row>
    <row r="391" spans="1:23">
      <c r="A391" s="26"/>
      <c r="B391" s="26"/>
      <c r="C391" s="26"/>
      <c r="D391" s="26"/>
      <c r="E391" s="26"/>
      <c r="F391" s="26"/>
      <c r="G391" s="26"/>
      <c r="H391" s="26"/>
      <c r="I391" s="26"/>
      <c r="J391" s="26"/>
      <c r="K391" s="26"/>
      <c r="L391" s="26"/>
      <c r="M391" s="26"/>
      <c r="N391" s="26"/>
      <c r="O391" s="26"/>
      <c r="P391" s="26"/>
      <c r="Q391" s="26"/>
      <c r="R391" s="26"/>
      <c r="S391" s="26"/>
      <c r="T391" s="26"/>
      <c r="U391" s="26"/>
      <c r="V391" s="26"/>
      <c r="W391" s="26"/>
    </row>
    <row r="392" spans="1:23">
      <c r="A392" s="26"/>
      <c r="B392" s="26"/>
      <c r="C392" s="26"/>
      <c r="D392" s="26"/>
      <c r="E392" s="26"/>
      <c r="F392" s="26"/>
      <c r="G392" s="26"/>
      <c r="H392" s="26"/>
      <c r="I392" s="26"/>
      <c r="J392" s="26"/>
      <c r="K392" s="26"/>
      <c r="L392" s="26"/>
      <c r="M392" s="26"/>
      <c r="N392" s="26"/>
      <c r="O392" s="26"/>
      <c r="P392" s="26"/>
      <c r="Q392" s="26"/>
      <c r="R392" s="26"/>
      <c r="S392" s="26"/>
      <c r="T392" s="26"/>
      <c r="U392" s="26"/>
      <c r="V392" s="26"/>
      <c r="W392" s="26"/>
    </row>
    <row r="393" spans="1:23">
      <c r="A393" s="26"/>
      <c r="B393" s="26"/>
      <c r="C393" s="26"/>
      <c r="D393" s="26"/>
      <c r="E393" s="26"/>
      <c r="F393" s="26"/>
      <c r="G393" s="26"/>
      <c r="H393" s="26"/>
      <c r="I393" s="26"/>
      <c r="J393" s="26"/>
      <c r="K393" s="26"/>
      <c r="L393" s="26"/>
      <c r="M393" s="26"/>
      <c r="N393" s="26"/>
      <c r="O393" s="26"/>
      <c r="P393" s="26"/>
      <c r="Q393" s="26"/>
      <c r="R393" s="26"/>
      <c r="S393" s="26"/>
      <c r="T393" s="26"/>
      <c r="U393" s="26"/>
      <c r="V393" s="26"/>
      <c r="W393" s="26"/>
    </row>
    <row r="394" spans="1:23">
      <c r="A394" s="26"/>
      <c r="B394" s="26"/>
      <c r="C394" s="26"/>
      <c r="D394" s="26"/>
      <c r="E394" s="26"/>
      <c r="F394" s="26"/>
      <c r="G394" s="26"/>
      <c r="H394" s="26"/>
      <c r="I394" s="26"/>
      <c r="J394" s="26"/>
      <c r="K394" s="26"/>
      <c r="L394" s="26"/>
      <c r="M394" s="26"/>
      <c r="N394" s="26"/>
      <c r="O394" s="26"/>
      <c r="P394" s="26"/>
      <c r="Q394" s="26"/>
      <c r="R394" s="26"/>
      <c r="S394" s="26"/>
      <c r="T394" s="26"/>
      <c r="U394" s="26"/>
      <c r="V394" s="26"/>
      <c r="W394" s="26"/>
    </row>
    <row r="395" spans="1:23">
      <c r="A395" s="26"/>
      <c r="B395" s="26"/>
      <c r="C395" s="26"/>
      <c r="D395" s="26"/>
      <c r="E395" s="26"/>
      <c r="F395" s="26"/>
      <c r="G395" s="26"/>
      <c r="H395" s="26"/>
      <c r="I395" s="26"/>
      <c r="J395" s="26"/>
      <c r="K395" s="26"/>
      <c r="L395" s="26"/>
      <c r="M395" s="26"/>
      <c r="N395" s="26"/>
      <c r="O395" s="26"/>
      <c r="P395" s="26"/>
      <c r="Q395" s="26"/>
      <c r="R395" s="26"/>
      <c r="S395" s="26"/>
      <c r="T395" s="26"/>
      <c r="U395" s="26"/>
      <c r="V395" s="26"/>
      <c r="W395" s="26"/>
    </row>
    <row r="396" spans="1:23">
      <c r="A396" s="26"/>
      <c r="B396" s="26"/>
      <c r="C396" s="26"/>
      <c r="D396" s="26"/>
      <c r="E396" s="26"/>
      <c r="F396" s="26"/>
      <c r="G396" s="26"/>
      <c r="H396" s="26"/>
      <c r="I396" s="26"/>
      <c r="J396" s="26"/>
      <c r="K396" s="26"/>
      <c r="L396" s="26"/>
      <c r="M396" s="26"/>
      <c r="N396" s="26"/>
      <c r="O396" s="26"/>
      <c r="P396" s="26"/>
      <c r="Q396" s="26"/>
      <c r="R396" s="26"/>
      <c r="S396" s="26"/>
      <c r="T396" s="26"/>
      <c r="U396" s="26"/>
      <c r="V396" s="26"/>
      <c r="W396" s="26"/>
    </row>
    <row r="397" spans="1:23">
      <c r="A397" s="26"/>
      <c r="B397" s="26"/>
      <c r="C397" s="26"/>
      <c r="D397" s="26"/>
      <c r="E397" s="26"/>
      <c r="F397" s="26"/>
      <c r="G397" s="26"/>
      <c r="H397" s="26"/>
      <c r="I397" s="26"/>
      <c r="J397" s="26"/>
      <c r="K397" s="26"/>
      <c r="L397" s="26"/>
      <c r="M397" s="26"/>
      <c r="N397" s="26"/>
      <c r="O397" s="26"/>
      <c r="P397" s="26"/>
      <c r="Q397" s="26"/>
      <c r="R397" s="26"/>
      <c r="S397" s="26"/>
      <c r="T397" s="26"/>
      <c r="U397" s="26"/>
      <c r="V397" s="26"/>
      <c r="W397" s="26"/>
    </row>
    <row r="398" spans="1:23">
      <c r="A398" s="26"/>
      <c r="B398" s="26"/>
      <c r="C398" s="26"/>
      <c r="D398" s="26"/>
      <c r="E398" s="26"/>
      <c r="F398" s="26"/>
      <c r="G398" s="26"/>
      <c r="H398" s="26"/>
      <c r="I398" s="26"/>
      <c r="J398" s="26"/>
      <c r="K398" s="26"/>
      <c r="L398" s="26"/>
      <c r="M398" s="26"/>
      <c r="N398" s="26"/>
      <c r="O398" s="26"/>
      <c r="P398" s="26"/>
      <c r="Q398" s="26"/>
      <c r="R398" s="26"/>
      <c r="S398" s="26"/>
      <c r="T398" s="26"/>
      <c r="U398" s="26"/>
      <c r="V398" s="26"/>
      <c r="W398" s="26"/>
    </row>
    <row r="399" spans="1:23">
      <c r="A399" s="26"/>
      <c r="B399" s="26"/>
      <c r="C399" s="26"/>
      <c r="D399" s="26"/>
      <c r="E399" s="26"/>
      <c r="F399" s="26"/>
      <c r="G399" s="26"/>
      <c r="H399" s="26"/>
      <c r="I399" s="26"/>
      <c r="J399" s="26"/>
      <c r="K399" s="26"/>
      <c r="L399" s="26"/>
      <c r="M399" s="26"/>
      <c r="N399" s="26"/>
      <c r="O399" s="26"/>
      <c r="P399" s="26"/>
      <c r="Q399" s="26"/>
      <c r="R399" s="26"/>
      <c r="S399" s="26"/>
      <c r="T399" s="26"/>
      <c r="U399" s="26"/>
      <c r="V399" s="26"/>
      <c r="W399" s="26"/>
    </row>
    <row r="400" spans="1:23">
      <c r="A400" s="26"/>
      <c r="B400" s="26"/>
      <c r="C400" s="26"/>
      <c r="D400" s="26"/>
      <c r="E400" s="26"/>
      <c r="F400" s="26"/>
      <c r="G400" s="26"/>
      <c r="H400" s="26"/>
      <c r="I400" s="26"/>
      <c r="J400" s="26"/>
      <c r="K400" s="26"/>
      <c r="L400" s="26"/>
      <c r="M400" s="26"/>
      <c r="N400" s="26"/>
      <c r="O400" s="26"/>
      <c r="P400" s="26"/>
      <c r="Q400" s="26"/>
      <c r="R400" s="26"/>
      <c r="S400" s="26"/>
      <c r="T400" s="26"/>
      <c r="U400" s="26"/>
      <c r="V400" s="26"/>
      <c r="W400" s="26"/>
    </row>
    <row r="401" spans="1:23">
      <c r="A401" s="26"/>
      <c r="B401" s="26"/>
      <c r="C401" s="26"/>
      <c r="D401" s="26"/>
      <c r="E401" s="26"/>
      <c r="F401" s="26"/>
      <c r="G401" s="26"/>
      <c r="H401" s="26"/>
      <c r="I401" s="26"/>
      <c r="J401" s="26"/>
      <c r="K401" s="26"/>
      <c r="L401" s="26"/>
      <c r="M401" s="26"/>
      <c r="N401" s="26"/>
      <c r="O401" s="26"/>
      <c r="P401" s="26"/>
      <c r="Q401" s="26"/>
      <c r="R401" s="26"/>
      <c r="S401" s="26"/>
      <c r="T401" s="26"/>
      <c r="U401" s="26"/>
      <c r="V401" s="26"/>
      <c r="W401" s="26"/>
    </row>
    <row r="402" spans="1:23">
      <c r="A402" s="26"/>
      <c r="B402" s="26"/>
      <c r="C402" s="26"/>
      <c r="D402" s="26"/>
      <c r="E402" s="26"/>
      <c r="F402" s="26"/>
      <c r="G402" s="26"/>
      <c r="H402" s="26"/>
      <c r="I402" s="26"/>
      <c r="J402" s="26"/>
      <c r="K402" s="26"/>
      <c r="L402" s="26"/>
      <c r="M402" s="26"/>
      <c r="N402" s="26"/>
      <c r="O402" s="26"/>
      <c r="P402" s="26"/>
      <c r="Q402" s="26"/>
      <c r="R402" s="26"/>
      <c r="S402" s="26"/>
      <c r="T402" s="26"/>
      <c r="U402" s="26"/>
      <c r="V402" s="26"/>
      <c r="W402" s="26"/>
    </row>
    <row r="403" spans="1:23">
      <c r="A403" s="26"/>
      <c r="B403" s="26"/>
      <c r="C403" s="26"/>
      <c r="D403" s="26"/>
      <c r="E403" s="26"/>
      <c r="F403" s="26"/>
      <c r="G403" s="26"/>
      <c r="H403" s="26"/>
      <c r="I403" s="26"/>
      <c r="J403" s="26"/>
      <c r="K403" s="26"/>
      <c r="L403" s="26"/>
      <c r="M403" s="26"/>
      <c r="N403" s="26"/>
      <c r="O403" s="26"/>
      <c r="P403" s="26"/>
      <c r="Q403" s="26"/>
      <c r="R403" s="26"/>
      <c r="S403" s="26"/>
      <c r="T403" s="26"/>
      <c r="U403" s="26"/>
      <c r="V403" s="26"/>
      <c r="W403" s="26"/>
    </row>
    <row r="404" spans="1:23">
      <c r="A404" s="26"/>
      <c r="B404" s="26"/>
      <c r="C404" s="26"/>
      <c r="D404" s="26"/>
      <c r="E404" s="26"/>
      <c r="F404" s="26"/>
      <c r="G404" s="26"/>
      <c r="H404" s="26"/>
      <c r="I404" s="26"/>
      <c r="J404" s="26"/>
      <c r="K404" s="26"/>
      <c r="L404" s="26"/>
      <c r="M404" s="26"/>
      <c r="N404" s="26"/>
      <c r="O404" s="26"/>
      <c r="P404" s="26"/>
      <c r="Q404" s="26"/>
      <c r="R404" s="26"/>
      <c r="S404" s="26"/>
      <c r="T404" s="26"/>
      <c r="U404" s="26"/>
      <c r="V404" s="26"/>
      <c r="W404" s="26"/>
    </row>
    <row r="405" spans="1:23">
      <c r="A405" s="26"/>
      <c r="B405" s="26"/>
      <c r="C405" s="26"/>
      <c r="D405" s="26"/>
      <c r="E405" s="26"/>
      <c r="F405" s="26"/>
      <c r="G405" s="26"/>
      <c r="H405" s="26"/>
      <c r="I405" s="26"/>
      <c r="J405" s="26"/>
      <c r="K405" s="26"/>
      <c r="L405" s="26"/>
      <c r="M405" s="26"/>
      <c r="N405" s="26"/>
      <c r="O405" s="26"/>
      <c r="P405" s="26"/>
      <c r="Q405" s="26"/>
      <c r="R405" s="26"/>
      <c r="S405" s="26"/>
      <c r="T405" s="26"/>
      <c r="U405" s="26"/>
      <c r="V405" s="26"/>
      <c r="W405" s="26"/>
    </row>
    <row r="406" spans="1:23">
      <c r="A406" s="26"/>
      <c r="B406" s="26"/>
      <c r="C406" s="26"/>
      <c r="D406" s="26"/>
      <c r="E406" s="26"/>
      <c r="F406" s="26"/>
      <c r="G406" s="26"/>
      <c r="H406" s="26"/>
      <c r="I406" s="26"/>
      <c r="J406" s="26"/>
      <c r="K406" s="26"/>
      <c r="L406" s="26"/>
      <c r="M406" s="26"/>
      <c r="N406" s="26"/>
      <c r="O406" s="26"/>
      <c r="P406" s="26"/>
      <c r="Q406" s="26"/>
      <c r="R406" s="26"/>
      <c r="S406" s="26"/>
      <c r="T406" s="26"/>
      <c r="U406" s="26"/>
      <c r="V406" s="26"/>
      <c r="W406" s="26"/>
    </row>
    <row r="407" spans="1:23">
      <c r="A407" s="26"/>
      <c r="B407" s="26"/>
      <c r="C407" s="26"/>
      <c r="D407" s="26"/>
      <c r="E407" s="26"/>
      <c r="F407" s="26"/>
      <c r="G407" s="26"/>
      <c r="H407" s="26"/>
      <c r="I407" s="26"/>
      <c r="J407" s="26"/>
      <c r="K407" s="26"/>
      <c r="L407" s="26"/>
      <c r="M407" s="26"/>
      <c r="N407" s="26"/>
      <c r="O407" s="26"/>
      <c r="P407" s="26"/>
      <c r="Q407" s="26"/>
      <c r="R407" s="26"/>
      <c r="S407" s="26"/>
      <c r="T407" s="26"/>
      <c r="U407" s="26"/>
      <c r="V407" s="26"/>
      <c r="W407" s="26"/>
    </row>
    <row r="408" spans="1:23">
      <c r="A408" s="26"/>
      <c r="B408" s="26"/>
      <c r="C408" s="26"/>
      <c r="D408" s="26"/>
      <c r="E408" s="26"/>
      <c r="F408" s="26"/>
      <c r="G408" s="26"/>
      <c r="H408" s="26"/>
      <c r="I408" s="26"/>
      <c r="J408" s="26"/>
      <c r="K408" s="26"/>
      <c r="L408" s="26"/>
      <c r="M408" s="26"/>
      <c r="N408" s="26"/>
      <c r="O408" s="26"/>
      <c r="P408" s="26"/>
      <c r="Q408" s="26"/>
      <c r="R408" s="26"/>
      <c r="S408" s="26"/>
      <c r="T408" s="26"/>
      <c r="U408" s="26"/>
      <c r="V408" s="26"/>
      <c r="W408" s="26"/>
    </row>
    <row r="409" spans="1:23">
      <c r="A409" s="26"/>
      <c r="B409" s="26"/>
      <c r="C409" s="26"/>
      <c r="D409" s="26"/>
      <c r="E409" s="26"/>
      <c r="F409" s="26"/>
      <c r="G409" s="26"/>
      <c r="H409" s="26"/>
      <c r="I409" s="26"/>
      <c r="J409" s="26"/>
      <c r="K409" s="26"/>
      <c r="L409" s="26"/>
      <c r="M409" s="26"/>
      <c r="N409" s="26"/>
      <c r="O409" s="26"/>
      <c r="P409" s="26"/>
      <c r="Q409" s="26"/>
      <c r="R409" s="26"/>
      <c r="S409" s="26"/>
      <c r="T409" s="26"/>
      <c r="U409" s="26"/>
      <c r="V409" s="26"/>
      <c r="W409" s="26"/>
    </row>
    <row r="410" spans="1:23">
      <c r="A410" s="26"/>
      <c r="B410" s="26"/>
      <c r="C410" s="26"/>
      <c r="D410" s="26"/>
      <c r="E410" s="26"/>
      <c r="F410" s="26"/>
      <c r="G410" s="26"/>
      <c r="H410" s="26"/>
      <c r="I410" s="26"/>
      <c r="J410" s="26"/>
      <c r="K410" s="26"/>
      <c r="L410" s="26"/>
      <c r="M410" s="26"/>
      <c r="N410" s="26"/>
      <c r="O410" s="26"/>
      <c r="P410" s="26"/>
      <c r="Q410" s="26"/>
      <c r="R410" s="26"/>
      <c r="S410" s="26"/>
      <c r="T410" s="26"/>
      <c r="U410" s="26"/>
      <c r="V410" s="26"/>
      <c r="W410" s="26"/>
    </row>
    <row r="411" spans="1:23">
      <c r="A411" s="26"/>
      <c r="B411" s="26"/>
      <c r="C411" s="26"/>
      <c r="D411" s="26"/>
      <c r="E411" s="26"/>
      <c r="F411" s="26"/>
      <c r="G411" s="26"/>
      <c r="H411" s="26"/>
      <c r="I411" s="26"/>
      <c r="J411" s="26"/>
      <c r="K411" s="26"/>
      <c r="L411" s="26"/>
      <c r="M411" s="26"/>
      <c r="N411" s="26"/>
      <c r="O411" s="26"/>
      <c r="P411" s="26"/>
      <c r="Q411" s="26"/>
      <c r="R411" s="26"/>
      <c r="S411" s="26"/>
      <c r="T411" s="26"/>
      <c r="U411" s="26"/>
      <c r="V411" s="26"/>
      <c r="W411" s="26"/>
    </row>
    <row r="412" spans="1:23">
      <c r="A412" s="26"/>
      <c r="B412" s="26"/>
      <c r="C412" s="26"/>
      <c r="D412" s="26"/>
      <c r="E412" s="26"/>
      <c r="F412" s="26"/>
      <c r="G412" s="26"/>
      <c r="H412" s="26"/>
      <c r="I412" s="26"/>
      <c r="J412" s="26"/>
      <c r="K412" s="26"/>
      <c r="L412" s="26"/>
      <c r="M412" s="26"/>
      <c r="N412" s="26"/>
      <c r="O412" s="26"/>
      <c r="P412" s="26"/>
      <c r="Q412" s="26"/>
      <c r="R412" s="26"/>
      <c r="S412" s="26"/>
      <c r="T412" s="26"/>
      <c r="U412" s="26"/>
      <c r="V412" s="26"/>
      <c r="W412" s="26"/>
    </row>
    <row r="413" spans="1:23">
      <c r="A413" s="26"/>
      <c r="B413" s="26"/>
      <c r="C413" s="26"/>
      <c r="D413" s="26"/>
      <c r="E413" s="26"/>
      <c r="F413" s="26"/>
      <c r="G413" s="26"/>
      <c r="H413" s="26"/>
      <c r="I413" s="26"/>
      <c r="J413" s="26"/>
      <c r="K413" s="26"/>
      <c r="L413" s="26"/>
      <c r="M413" s="26"/>
      <c r="N413" s="26"/>
      <c r="O413" s="26"/>
      <c r="P413" s="26"/>
      <c r="Q413" s="26"/>
      <c r="R413" s="26"/>
      <c r="S413" s="26"/>
      <c r="T413" s="26"/>
      <c r="U413" s="26"/>
      <c r="V413" s="26"/>
      <c r="W413" s="26"/>
    </row>
    <row r="414" spans="1:23">
      <c r="A414" s="26"/>
      <c r="B414" s="26"/>
      <c r="C414" s="26"/>
      <c r="D414" s="26"/>
      <c r="E414" s="26"/>
      <c r="F414" s="26"/>
      <c r="G414" s="26"/>
      <c r="H414" s="26"/>
      <c r="I414" s="26"/>
      <c r="J414" s="26"/>
      <c r="K414" s="26"/>
      <c r="L414" s="26"/>
      <c r="M414" s="26"/>
      <c r="N414" s="26"/>
      <c r="O414" s="26"/>
      <c r="P414" s="26"/>
      <c r="Q414" s="26"/>
      <c r="R414" s="26"/>
      <c r="S414" s="26"/>
      <c r="T414" s="26"/>
      <c r="U414" s="26"/>
      <c r="V414" s="26"/>
      <c r="W414" s="26"/>
    </row>
    <row r="415" spans="1:23">
      <c r="A415" s="26"/>
      <c r="B415" s="26"/>
      <c r="C415" s="26"/>
      <c r="D415" s="26"/>
      <c r="E415" s="26"/>
      <c r="F415" s="26"/>
      <c r="G415" s="26"/>
      <c r="H415" s="26"/>
      <c r="I415" s="26"/>
      <c r="J415" s="26"/>
      <c r="K415" s="26"/>
      <c r="L415" s="26"/>
      <c r="M415" s="26"/>
      <c r="N415" s="26"/>
      <c r="O415" s="26"/>
      <c r="P415" s="26"/>
      <c r="Q415" s="26"/>
      <c r="R415" s="26"/>
      <c r="S415" s="26"/>
      <c r="T415" s="26"/>
      <c r="U415" s="26"/>
      <c r="V415" s="26"/>
      <c r="W415" s="26"/>
    </row>
    <row r="416" spans="1:23">
      <c r="A416" s="26"/>
      <c r="B416" s="26"/>
      <c r="C416" s="26"/>
      <c r="D416" s="26"/>
      <c r="E416" s="26"/>
      <c r="F416" s="26"/>
      <c r="G416" s="26"/>
      <c r="H416" s="26"/>
      <c r="I416" s="26"/>
      <c r="J416" s="26"/>
      <c r="K416" s="26"/>
      <c r="L416" s="26"/>
      <c r="M416" s="26"/>
      <c r="N416" s="26"/>
      <c r="O416" s="26"/>
      <c r="P416" s="26"/>
      <c r="Q416" s="26"/>
      <c r="R416" s="26"/>
      <c r="S416" s="26"/>
      <c r="T416" s="26"/>
      <c r="U416" s="26"/>
      <c r="V416" s="26"/>
      <c r="W416" s="26"/>
    </row>
    <row r="417" spans="1:23">
      <c r="A417" s="26"/>
      <c r="B417" s="26"/>
      <c r="C417" s="26"/>
      <c r="D417" s="26"/>
      <c r="E417" s="26"/>
      <c r="F417" s="26"/>
      <c r="G417" s="26"/>
      <c r="H417" s="26"/>
      <c r="I417" s="26"/>
      <c r="J417" s="26"/>
      <c r="K417" s="26"/>
      <c r="L417" s="26"/>
      <c r="M417" s="26"/>
      <c r="N417" s="26"/>
      <c r="O417" s="26"/>
      <c r="P417" s="26"/>
      <c r="Q417" s="26"/>
      <c r="R417" s="26"/>
      <c r="S417" s="26"/>
      <c r="T417" s="26"/>
      <c r="U417" s="26"/>
      <c r="V417" s="26"/>
      <c r="W417" s="26"/>
    </row>
    <row r="418" spans="1:23">
      <c r="A418" s="26"/>
      <c r="B418" s="26"/>
      <c r="C418" s="26"/>
      <c r="D418" s="26"/>
      <c r="E418" s="26"/>
      <c r="F418" s="26"/>
      <c r="G418" s="26"/>
      <c r="H418" s="26"/>
      <c r="I418" s="26"/>
      <c r="J418" s="26"/>
      <c r="K418" s="26"/>
      <c r="L418" s="26"/>
      <c r="M418" s="26"/>
      <c r="N418" s="26"/>
      <c r="O418" s="26"/>
      <c r="P418" s="26"/>
      <c r="Q418" s="26"/>
      <c r="R418" s="26"/>
      <c r="S418" s="26"/>
      <c r="T418" s="26"/>
      <c r="U418" s="26"/>
      <c r="V418" s="26"/>
      <c r="W418" s="26"/>
    </row>
    <row r="419" spans="1:23">
      <c r="A419" s="26"/>
      <c r="B419" s="26"/>
      <c r="C419" s="26"/>
      <c r="D419" s="26"/>
      <c r="E419" s="26"/>
      <c r="F419" s="26"/>
      <c r="G419" s="26"/>
      <c r="H419" s="26"/>
      <c r="I419" s="26"/>
      <c r="J419" s="26"/>
      <c r="K419" s="26"/>
      <c r="L419" s="26"/>
      <c r="M419" s="26"/>
      <c r="N419" s="26"/>
      <c r="O419" s="26"/>
      <c r="P419" s="26"/>
      <c r="Q419" s="26"/>
      <c r="R419" s="26"/>
      <c r="S419" s="26"/>
      <c r="T419" s="26"/>
      <c r="U419" s="26"/>
      <c r="V419" s="26"/>
      <c r="W419" s="26"/>
    </row>
    <row r="420" spans="1:23">
      <c r="A420" s="26"/>
      <c r="B420" s="26"/>
      <c r="C420" s="26"/>
      <c r="D420" s="26"/>
      <c r="E420" s="26"/>
      <c r="F420" s="26"/>
      <c r="G420" s="26"/>
      <c r="H420" s="26"/>
      <c r="I420" s="26"/>
      <c r="J420" s="26"/>
      <c r="K420" s="26"/>
      <c r="L420" s="26"/>
      <c r="M420" s="26"/>
      <c r="N420" s="26"/>
      <c r="O420" s="26"/>
      <c r="P420" s="26"/>
      <c r="Q420" s="26"/>
      <c r="R420" s="26"/>
      <c r="S420" s="26"/>
      <c r="T420" s="26"/>
      <c r="U420" s="26"/>
      <c r="V420" s="26"/>
      <c r="W420" s="26"/>
    </row>
    <row r="421" spans="1:23">
      <c r="A421" s="26"/>
      <c r="B421" s="26"/>
      <c r="C421" s="26"/>
      <c r="D421" s="26"/>
      <c r="E421" s="26"/>
      <c r="F421" s="26"/>
      <c r="G421" s="26"/>
      <c r="H421" s="26"/>
      <c r="I421" s="26"/>
      <c r="J421" s="26"/>
      <c r="K421" s="26"/>
      <c r="L421" s="26"/>
      <c r="M421" s="26"/>
      <c r="N421" s="26"/>
      <c r="O421" s="26"/>
      <c r="P421" s="26"/>
      <c r="Q421" s="26"/>
      <c r="R421" s="26"/>
      <c r="S421" s="26"/>
      <c r="T421" s="26"/>
      <c r="U421" s="26"/>
      <c r="V421" s="26"/>
      <c r="W421" s="26"/>
    </row>
    <row r="422" spans="1:23">
      <c r="A422" s="26"/>
      <c r="B422" s="26"/>
      <c r="C422" s="26"/>
      <c r="D422" s="26"/>
      <c r="E422" s="26"/>
      <c r="F422" s="26"/>
      <c r="G422" s="26"/>
      <c r="H422" s="26"/>
      <c r="I422" s="26"/>
      <c r="J422" s="26"/>
      <c r="K422" s="26"/>
      <c r="L422" s="26"/>
      <c r="M422" s="26"/>
      <c r="N422" s="26"/>
      <c r="O422" s="26"/>
      <c r="P422" s="26"/>
      <c r="Q422" s="26"/>
      <c r="R422" s="26"/>
      <c r="S422" s="26"/>
      <c r="T422" s="26"/>
      <c r="U422" s="26"/>
      <c r="V422" s="26"/>
      <c r="W422" s="26"/>
    </row>
    <row r="423" spans="1:23">
      <c r="A423" s="26"/>
      <c r="B423" s="26"/>
      <c r="C423" s="26"/>
      <c r="D423" s="26"/>
      <c r="E423" s="26"/>
      <c r="F423" s="26"/>
      <c r="G423" s="26"/>
      <c r="H423" s="26"/>
      <c r="I423" s="26"/>
      <c r="J423" s="26"/>
      <c r="K423" s="26"/>
      <c r="L423" s="26"/>
      <c r="M423" s="26"/>
      <c r="N423" s="26"/>
      <c r="O423" s="26"/>
      <c r="P423" s="26"/>
      <c r="Q423" s="26"/>
      <c r="R423" s="26"/>
      <c r="S423" s="26"/>
      <c r="T423" s="26"/>
      <c r="U423" s="26"/>
      <c r="V423" s="26"/>
      <c r="W423" s="26"/>
    </row>
    <row r="424" spans="1:23">
      <c r="A424" s="26"/>
      <c r="B424" s="26"/>
      <c r="C424" s="26"/>
      <c r="D424" s="26"/>
      <c r="E424" s="26"/>
      <c r="F424" s="26"/>
      <c r="G424" s="26"/>
      <c r="H424" s="26"/>
      <c r="I424" s="26"/>
      <c r="J424" s="26"/>
      <c r="K424" s="26"/>
      <c r="L424" s="26"/>
      <c r="M424" s="26"/>
      <c r="N424" s="26"/>
      <c r="O424" s="26"/>
      <c r="P424" s="26"/>
      <c r="Q424" s="26"/>
      <c r="R424" s="26"/>
      <c r="S424" s="26"/>
      <c r="T424" s="26"/>
      <c r="U424" s="26"/>
      <c r="V424" s="26"/>
      <c r="W424" s="26"/>
    </row>
    <row r="425" spans="1:23">
      <c r="A425" s="26"/>
      <c r="B425" s="26"/>
      <c r="C425" s="26"/>
      <c r="D425" s="26"/>
      <c r="E425" s="26"/>
      <c r="F425" s="26"/>
      <c r="G425" s="26"/>
      <c r="H425" s="26"/>
      <c r="I425" s="26"/>
      <c r="J425" s="26"/>
      <c r="K425" s="26"/>
      <c r="L425" s="26"/>
      <c r="M425" s="26"/>
      <c r="N425" s="26"/>
      <c r="O425" s="26"/>
      <c r="P425" s="26"/>
      <c r="Q425" s="26"/>
      <c r="R425" s="26"/>
      <c r="S425" s="26"/>
      <c r="T425" s="26"/>
      <c r="U425" s="26"/>
      <c r="V425" s="26"/>
      <c r="W425" s="26"/>
    </row>
    <row r="426" spans="1:23">
      <c r="A426" s="26"/>
      <c r="B426" s="26"/>
      <c r="C426" s="26"/>
      <c r="D426" s="26"/>
      <c r="E426" s="26"/>
      <c r="F426" s="26"/>
      <c r="G426" s="26"/>
      <c r="H426" s="26"/>
      <c r="I426" s="26"/>
      <c r="J426" s="26"/>
      <c r="K426" s="26"/>
      <c r="L426" s="26"/>
      <c r="M426" s="26"/>
      <c r="N426" s="26"/>
      <c r="O426" s="26"/>
      <c r="P426" s="26"/>
      <c r="Q426" s="26"/>
      <c r="R426" s="26"/>
      <c r="S426" s="26"/>
      <c r="T426" s="26"/>
      <c r="U426" s="26"/>
      <c r="V426" s="26"/>
      <c r="W426" s="26"/>
    </row>
    <row r="427" spans="1:23">
      <c r="A427" s="26"/>
      <c r="B427" s="26"/>
      <c r="C427" s="26"/>
      <c r="D427" s="26"/>
      <c r="E427" s="26"/>
      <c r="F427" s="26"/>
      <c r="G427" s="26"/>
      <c r="H427" s="26"/>
      <c r="I427" s="26"/>
      <c r="J427" s="26"/>
      <c r="K427" s="26"/>
      <c r="L427" s="26"/>
      <c r="M427" s="26"/>
      <c r="N427" s="26"/>
      <c r="O427" s="26"/>
      <c r="P427" s="26"/>
      <c r="Q427" s="26"/>
      <c r="R427" s="26"/>
      <c r="S427" s="26"/>
      <c r="T427" s="26"/>
      <c r="U427" s="26"/>
      <c r="V427" s="26"/>
      <c r="W427" s="26"/>
    </row>
    <row r="428" spans="1:23">
      <c r="A428" s="26"/>
      <c r="B428" s="26"/>
      <c r="C428" s="26"/>
      <c r="D428" s="26"/>
      <c r="E428" s="26"/>
      <c r="F428" s="26"/>
      <c r="G428" s="26"/>
      <c r="H428" s="26"/>
      <c r="I428" s="26"/>
      <c r="J428" s="26"/>
      <c r="K428" s="26"/>
      <c r="L428" s="26"/>
      <c r="M428" s="26"/>
      <c r="N428" s="26"/>
      <c r="O428" s="26"/>
      <c r="P428" s="26"/>
      <c r="Q428" s="26"/>
      <c r="R428" s="26"/>
      <c r="S428" s="26"/>
      <c r="T428" s="26"/>
      <c r="U428" s="26"/>
      <c r="V428" s="26"/>
      <c r="W428" s="26"/>
    </row>
    <row r="429" spans="1:23">
      <c r="A429" s="26"/>
      <c r="B429" s="26"/>
      <c r="C429" s="26"/>
      <c r="D429" s="26"/>
      <c r="E429" s="26"/>
      <c r="F429" s="26"/>
      <c r="G429" s="26"/>
      <c r="H429" s="26"/>
      <c r="I429" s="26"/>
      <c r="J429" s="26"/>
      <c r="K429" s="26"/>
      <c r="L429" s="26"/>
      <c r="M429" s="26"/>
      <c r="N429" s="26"/>
      <c r="O429" s="26"/>
      <c r="P429" s="26"/>
      <c r="Q429" s="26"/>
      <c r="R429" s="26"/>
      <c r="S429" s="26"/>
      <c r="T429" s="26"/>
      <c r="U429" s="26"/>
      <c r="V429" s="26"/>
      <c r="W429" s="26"/>
    </row>
    <row r="430" spans="1:23">
      <c r="A430" s="26"/>
      <c r="B430" s="26"/>
      <c r="C430" s="26"/>
      <c r="D430" s="26"/>
      <c r="E430" s="26"/>
      <c r="F430" s="26"/>
      <c r="G430" s="26"/>
      <c r="H430" s="26"/>
      <c r="I430" s="26"/>
      <c r="J430" s="26"/>
      <c r="K430" s="26"/>
      <c r="L430" s="26"/>
      <c r="M430" s="26"/>
      <c r="N430" s="26"/>
      <c r="O430" s="26"/>
      <c r="P430" s="26"/>
      <c r="Q430" s="26"/>
      <c r="R430" s="26"/>
      <c r="S430" s="26"/>
      <c r="T430" s="26"/>
      <c r="U430" s="26"/>
      <c r="V430" s="26"/>
      <c r="W430" s="26"/>
    </row>
    <row r="431" spans="1:23">
      <c r="A431" s="26"/>
      <c r="B431" s="26"/>
      <c r="C431" s="26"/>
      <c r="D431" s="26"/>
      <c r="E431" s="26"/>
      <c r="F431" s="26"/>
      <c r="G431" s="26"/>
      <c r="H431" s="26"/>
      <c r="I431" s="26"/>
      <c r="J431" s="26"/>
      <c r="K431" s="26"/>
      <c r="L431" s="26"/>
      <c r="M431" s="26"/>
      <c r="N431" s="26"/>
      <c r="O431" s="26"/>
      <c r="P431" s="26"/>
      <c r="Q431" s="26"/>
      <c r="R431" s="26"/>
      <c r="S431" s="26"/>
      <c r="T431" s="26"/>
      <c r="U431" s="26"/>
      <c r="V431" s="26"/>
      <c r="W431" s="26"/>
    </row>
    <row r="432" spans="1:23">
      <c r="A432" s="26"/>
      <c r="B432" s="26"/>
      <c r="C432" s="26"/>
      <c r="D432" s="26"/>
      <c r="E432" s="26"/>
      <c r="F432" s="26"/>
      <c r="G432" s="26"/>
      <c r="H432" s="26"/>
      <c r="I432" s="26"/>
      <c r="J432" s="26"/>
      <c r="K432" s="26"/>
      <c r="L432" s="26"/>
      <c r="M432" s="26"/>
      <c r="N432" s="26"/>
      <c r="O432" s="26"/>
      <c r="P432" s="26"/>
      <c r="Q432" s="26"/>
      <c r="R432" s="26"/>
      <c r="S432" s="26"/>
      <c r="T432" s="26"/>
      <c r="U432" s="26"/>
      <c r="V432" s="26"/>
      <c r="W432" s="26"/>
    </row>
    <row r="433" spans="1:23">
      <c r="A433" s="26"/>
      <c r="B433" s="26"/>
      <c r="C433" s="26"/>
      <c r="D433" s="26"/>
      <c r="E433" s="26"/>
      <c r="F433" s="26"/>
      <c r="G433" s="26"/>
      <c r="H433" s="26"/>
      <c r="I433" s="26"/>
      <c r="J433" s="26"/>
      <c r="K433" s="26"/>
      <c r="L433" s="26"/>
      <c r="M433" s="26"/>
      <c r="N433" s="26"/>
      <c r="O433" s="26"/>
      <c r="P433" s="26"/>
      <c r="Q433" s="26"/>
      <c r="R433" s="26"/>
      <c r="S433" s="26"/>
      <c r="T433" s="26"/>
      <c r="U433" s="26"/>
      <c r="V433" s="26"/>
      <c r="W433" s="26"/>
    </row>
    <row r="434" spans="1:23">
      <c r="A434" s="26"/>
      <c r="B434" s="26"/>
      <c r="C434" s="26"/>
      <c r="D434" s="26"/>
      <c r="E434" s="26"/>
      <c r="F434" s="26"/>
      <c r="G434" s="26"/>
      <c r="H434" s="26"/>
      <c r="I434" s="26"/>
      <c r="J434" s="26"/>
      <c r="K434" s="26"/>
      <c r="L434" s="26"/>
      <c r="M434" s="26"/>
      <c r="N434" s="26"/>
      <c r="O434" s="26"/>
      <c r="P434" s="26"/>
      <c r="Q434" s="26"/>
      <c r="R434" s="26"/>
      <c r="S434" s="26"/>
      <c r="T434" s="26"/>
      <c r="U434" s="26"/>
      <c r="V434" s="26"/>
      <c r="W434" s="26"/>
    </row>
    <row r="435" spans="1:23">
      <c r="A435" s="26"/>
      <c r="B435" s="26"/>
      <c r="C435" s="26"/>
      <c r="D435" s="26"/>
      <c r="E435" s="26"/>
      <c r="F435" s="26"/>
      <c r="G435" s="26"/>
      <c r="H435" s="26"/>
      <c r="I435" s="26"/>
      <c r="J435" s="26"/>
      <c r="K435" s="26"/>
      <c r="L435" s="26"/>
      <c r="M435" s="26"/>
      <c r="N435" s="26"/>
      <c r="O435" s="26"/>
      <c r="P435" s="26"/>
      <c r="Q435" s="26"/>
      <c r="R435" s="26"/>
      <c r="S435" s="26"/>
      <c r="T435" s="26"/>
      <c r="U435" s="26"/>
      <c r="V435" s="26"/>
      <c r="W435" s="26"/>
    </row>
    <row r="436" spans="1:23">
      <c r="A436" s="26"/>
      <c r="B436" s="26"/>
      <c r="C436" s="26"/>
      <c r="D436" s="26"/>
      <c r="E436" s="26"/>
      <c r="F436" s="26"/>
      <c r="G436" s="26"/>
      <c r="H436" s="26"/>
      <c r="I436" s="26"/>
      <c r="J436" s="26"/>
      <c r="K436" s="26"/>
      <c r="L436" s="26"/>
      <c r="M436" s="26"/>
      <c r="N436" s="26"/>
      <c r="O436" s="26"/>
      <c r="P436" s="26"/>
      <c r="Q436" s="26"/>
      <c r="R436" s="26"/>
      <c r="S436" s="26"/>
      <c r="T436" s="26"/>
      <c r="U436" s="26"/>
      <c r="V436" s="26"/>
      <c r="W436" s="26"/>
    </row>
    <row r="437" spans="1:23">
      <c r="A437" s="26"/>
      <c r="B437" s="26"/>
      <c r="C437" s="26"/>
      <c r="D437" s="26"/>
      <c r="E437" s="26"/>
      <c r="F437" s="26"/>
      <c r="G437" s="26"/>
      <c r="H437" s="26"/>
      <c r="I437" s="26"/>
      <c r="J437" s="26"/>
      <c r="K437" s="26"/>
      <c r="L437" s="26"/>
      <c r="M437" s="26"/>
      <c r="N437" s="26"/>
      <c r="O437" s="26"/>
      <c r="P437" s="26"/>
      <c r="Q437" s="26"/>
      <c r="R437" s="26"/>
      <c r="S437" s="26"/>
      <c r="T437" s="26"/>
      <c r="U437" s="26"/>
      <c r="V437" s="26"/>
      <c r="W437" s="26"/>
    </row>
    <row r="438" spans="1:23">
      <c r="A438" s="26"/>
      <c r="B438" s="26"/>
      <c r="C438" s="26"/>
      <c r="D438" s="26"/>
      <c r="E438" s="26"/>
      <c r="F438" s="26"/>
      <c r="G438" s="26"/>
      <c r="H438" s="26"/>
      <c r="I438" s="26"/>
      <c r="J438" s="26"/>
      <c r="K438" s="26"/>
      <c r="L438" s="26"/>
      <c r="M438" s="26"/>
      <c r="N438" s="26"/>
      <c r="O438" s="26"/>
      <c r="P438" s="26"/>
      <c r="Q438" s="26"/>
      <c r="R438" s="26"/>
      <c r="S438" s="26"/>
      <c r="T438" s="26"/>
      <c r="U438" s="26"/>
      <c r="V438" s="26"/>
      <c r="W438" s="26"/>
    </row>
    <row r="439" spans="1:23">
      <c r="A439" s="26"/>
      <c r="B439" s="26"/>
      <c r="C439" s="26"/>
      <c r="D439" s="26"/>
      <c r="E439" s="26"/>
      <c r="F439" s="26"/>
      <c r="G439" s="26"/>
      <c r="H439" s="26"/>
      <c r="I439" s="26"/>
      <c r="J439" s="26"/>
      <c r="K439" s="26"/>
      <c r="L439" s="26"/>
      <c r="M439" s="26"/>
      <c r="N439" s="26"/>
      <c r="O439" s="26"/>
      <c r="P439" s="26"/>
      <c r="Q439" s="26"/>
      <c r="R439" s="26"/>
      <c r="S439" s="26"/>
      <c r="T439" s="26"/>
      <c r="U439" s="26"/>
      <c r="V439" s="26"/>
      <c r="W439" s="26"/>
    </row>
    <row r="440" spans="1:23">
      <c r="A440" s="26"/>
      <c r="B440" s="26"/>
      <c r="C440" s="26"/>
      <c r="D440" s="26"/>
      <c r="E440" s="26"/>
      <c r="F440" s="26"/>
      <c r="G440" s="26"/>
      <c r="H440" s="26"/>
      <c r="I440" s="26"/>
      <c r="J440" s="26"/>
      <c r="K440" s="26"/>
      <c r="L440" s="26"/>
      <c r="M440" s="26"/>
      <c r="N440" s="26"/>
      <c r="O440" s="26"/>
      <c r="P440" s="26"/>
      <c r="Q440" s="26"/>
      <c r="R440" s="26"/>
      <c r="S440" s="26"/>
      <c r="T440" s="26"/>
      <c r="U440" s="26"/>
      <c r="V440" s="26"/>
      <c r="W440" s="26"/>
    </row>
    <row r="441" spans="1:23">
      <c r="A441" s="26"/>
      <c r="B441" s="26"/>
      <c r="C441" s="26"/>
      <c r="D441" s="26"/>
      <c r="E441" s="26"/>
      <c r="F441" s="26"/>
      <c r="G441" s="26"/>
      <c r="H441" s="26"/>
      <c r="I441" s="26"/>
      <c r="J441" s="26"/>
      <c r="K441" s="26"/>
      <c r="L441" s="26"/>
      <c r="M441" s="26"/>
      <c r="N441" s="26"/>
      <c r="O441" s="26"/>
      <c r="P441" s="26"/>
      <c r="Q441" s="26"/>
      <c r="R441" s="26"/>
      <c r="S441" s="26"/>
      <c r="T441" s="26"/>
      <c r="U441" s="26"/>
      <c r="V441" s="26"/>
      <c r="W441" s="26"/>
    </row>
    <row r="442" spans="1:23">
      <c r="A442" s="26"/>
      <c r="B442" s="26"/>
      <c r="C442" s="26"/>
      <c r="D442" s="26"/>
      <c r="E442" s="26"/>
      <c r="F442" s="26"/>
      <c r="G442" s="26"/>
      <c r="H442" s="26"/>
      <c r="I442" s="26"/>
      <c r="J442" s="26"/>
      <c r="K442" s="26"/>
      <c r="L442" s="26"/>
      <c r="M442" s="26"/>
      <c r="N442" s="26"/>
      <c r="O442" s="26"/>
      <c r="P442" s="26"/>
      <c r="Q442" s="26"/>
      <c r="R442" s="26"/>
      <c r="S442" s="26"/>
      <c r="T442" s="26"/>
      <c r="U442" s="26"/>
      <c r="V442" s="26"/>
      <c r="W442" s="26"/>
    </row>
    <row r="443" spans="1:23">
      <c r="A443" s="26"/>
      <c r="B443" s="26"/>
      <c r="C443" s="26"/>
      <c r="D443" s="26"/>
      <c r="E443" s="26"/>
      <c r="F443" s="26"/>
      <c r="G443" s="26"/>
      <c r="H443" s="26"/>
      <c r="I443" s="26"/>
      <c r="J443" s="26"/>
      <c r="K443" s="26"/>
      <c r="L443" s="26"/>
      <c r="M443" s="26"/>
      <c r="N443" s="26"/>
      <c r="O443" s="26"/>
      <c r="P443" s="26"/>
      <c r="Q443" s="26"/>
      <c r="R443" s="26"/>
      <c r="S443" s="26"/>
      <c r="T443" s="26"/>
      <c r="U443" s="26"/>
      <c r="V443" s="26"/>
      <c r="W443" s="26"/>
    </row>
    <row r="444" spans="1:23">
      <c r="A444" s="26"/>
      <c r="B444" s="26"/>
      <c r="C444" s="26"/>
      <c r="D444" s="26"/>
      <c r="E444" s="26"/>
      <c r="F444" s="26"/>
      <c r="G444" s="26"/>
      <c r="H444" s="26"/>
      <c r="I444" s="26"/>
      <c r="J444" s="26"/>
      <c r="K444" s="26"/>
      <c r="L444" s="26"/>
      <c r="M444" s="26"/>
      <c r="N444" s="26"/>
      <c r="O444" s="26"/>
      <c r="P444" s="26"/>
      <c r="Q444" s="26"/>
      <c r="R444" s="26"/>
      <c r="S444" s="26"/>
      <c r="T444" s="26"/>
      <c r="U444" s="26"/>
      <c r="V444" s="26"/>
      <c r="W444" s="26"/>
    </row>
    <row r="445" spans="1:23">
      <c r="A445" s="26"/>
      <c r="B445" s="26"/>
      <c r="C445" s="26"/>
      <c r="D445" s="26"/>
      <c r="E445" s="26"/>
      <c r="F445" s="26"/>
      <c r="G445" s="26"/>
      <c r="H445" s="26"/>
      <c r="I445" s="26"/>
      <c r="J445" s="26"/>
      <c r="K445" s="26"/>
      <c r="L445" s="26"/>
      <c r="M445" s="26"/>
      <c r="N445" s="26"/>
      <c r="O445" s="26"/>
      <c r="P445" s="26"/>
      <c r="Q445" s="26"/>
      <c r="R445" s="26"/>
      <c r="S445" s="26"/>
      <c r="T445" s="26"/>
      <c r="U445" s="26"/>
      <c r="V445" s="26"/>
      <c r="W445" s="26"/>
    </row>
    <row r="446" spans="1:23">
      <c r="A446" s="26"/>
      <c r="B446" s="26"/>
      <c r="C446" s="26"/>
      <c r="D446" s="26"/>
      <c r="E446" s="26"/>
      <c r="F446" s="26"/>
      <c r="G446" s="26"/>
      <c r="H446" s="26"/>
      <c r="I446" s="26"/>
      <c r="J446" s="26"/>
      <c r="K446" s="26"/>
      <c r="L446" s="26"/>
      <c r="M446" s="26"/>
      <c r="N446" s="26"/>
      <c r="O446" s="26"/>
      <c r="P446" s="26"/>
      <c r="Q446" s="26"/>
      <c r="R446" s="26"/>
      <c r="S446" s="26"/>
      <c r="T446" s="26"/>
      <c r="U446" s="26"/>
      <c r="V446" s="26"/>
      <c r="W446" s="26"/>
    </row>
    <row r="447" spans="1:23">
      <c r="A447" s="26"/>
      <c r="B447" s="26"/>
      <c r="C447" s="26"/>
      <c r="D447" s="26"/>
      <c r="E447" s="26"/>
      <c r="F447" s="26"/>
      <c r="G447" s="26"/>
      <c r="H447" s="26"/>
      <c r="I447" s="26"/>
      <c r="J447" s="26"/>
      <c r="K447" s="26"/>
      <c r="L447" s="26"/>
      <c r="M447" s="26"/>
      <c r="N447" s="26"/>
      <c r="O447" s="26"/>
      <c r="P447" s="26"/>
      <c r="Q447" s="26"/>
      <c r="R447" s="26"/>
      <c r="S447" s="26"/>
      <c r="T447" s="26"/>
      <c r="U447" s="26"/>
      <c r="V447" s="26"/>
      <c r="W447" s="26"/>
    </row>
    <row r="448" spans="1:23">
      <c r="A448" s="26"/>
      <c r="B448" s="26"/>
      <c r="C448" s="26"/>
      <c r="D448" s="26"/>
      <c r="E448" s="26"/>
      <c r="F448" s="26"/>
      <c r="G448" s="26"/>
      <c r="H448" s="26"/>
      <c r="I448" s="26"/>
      <c r="J448" s="26"/>
      <c r="K448" s="26"/>
      <c r="L448" s="26"/>
      <c r="M448" s="26"/>
      <c r="N448" s="26"/>
      <c r="O448" s="26"/>
      <c r="P448" s="26"/>
      <c r="Q448" s="26"/>
      <c r="R448" s="26"/>
      <c r="S448" s="26"/>
      <c r="T448" s="26"/>
      <c r="U448" s="26"/>
      <c r="V448" s="26"/>
      <c r="W448" s="26"/>
    </row>
    <row r="449" spans="1:23">
      <c r="A449" s="26"/>
      <c r="B449" s="26"/>
      <c r="C449" s="26"/>
      <c r="D449" s="26"/>
      <c r="E449" s="26"/>
      <c r="F449" s="26"/>
      <c r="G449" s="26"/>
      <c r="H449" s="26"/>
      <c r="I449" s="26"/>
      <c r="J449" s="26"/>
      <c r="K449" s="26"/>
      <c r="L449" s="26"/>
      <c r="M449" s="26"/>
      <c r="N449" s="26"/>
      <c r="O449" s="26"/>
      <c r="P449" s="26"/>
      <c r="Q449" s="26"/>
      <c r="R449" s="26"/>
      <c r="S449" s="26"/>
      <c r="T449" s="26"/>
      <c r="U449" s="26"/>
      <c r="V449" s="26"/>
      <c r="W449" s="26"/>
    </row>
    <row r="450" spans="1:23">
      <c r="A450" s="26"/>
      <c r="B450" s="26"/>
      <c r="C450" s="26"/>
      <c r="D450" s="26"/>
      <c r="E450" s="26"/>
      <c r="F450" s="26"/>
      <c r="G450" s="26"/>
      <c r="H450" s="26"/>
      <c r="I450" s="26"/>
      <c r="J450" s="26"/>
      <c r="K450" s="26"/>
      <c r="L450" s="26"/>
      <c r="M450" s="26"/>
      <c r="N450" s="26"/>
      <c r="O450" s="26"/>
      <c r="P450" s="26"/>
      <c r="Q450" s="26"/>
      <c r="R450" s="26"/>
      <c r="S450" s="26"/>
      <c r="T450" s="26"/>
      <c r="U450" s="26"/>
      <c r="V450" s="26"/>
      <c r="W450" s="26"/>
    </row>
    <row r="451" spans="1:23">
      <c r="A451" s="26"/>
      <c r="B451" s="26"/>
      <c r="C451" s="26"/>
      <c r="D451" s="26"/>
      <c r="E451" s="26"/>
      <c r="F451" s="26"/>
      <c r="G451" s="26"/>
      <c r="H451" s="26"/>
      <c r="I451" s="26"/>
      <c r="J451" s="26"/>
      <c r="K451" s="26"/>
      <c r="L451" s="26"/>
      <c r="M451" s="26"/>
      <c r="N451" s="26"/>
      <c r="O451" s="26"/>
      <c r="P451" s="26"/>
      <c r="Q451" s="26"/>
      <c r="R451" s="26"/>
      <c r="S451" s="26"/>
      <c r="T451" s="26"/>
      <c r="U451" s="26"/>
      <c r="V451" s="26"/>
      <c r="W451" s="26"/>
    </row>
    <row r="452" spans="1:23">
      <c r="A452" s="26"/>
      <c r="B452" s="26"/>
      <c r="C452" s="26"/>
      <c r="D452" s="26"/>
      <c r="E452" s="26"/>
      <c r="F452" s="26"/>
      <c r="G452" s="26"/>
      <c r="H452" s="26"/>
      <c r="I452" s="26"/>
      <c r="J452" s="26"/>
      <c r="K452" s="26"/>
      <c r="L452" s="26"/>
      <c r="M452" s="26"/>
      <c r="N452" s="26"/>
      <c r="O452" s="26"/>
      <c r="P452" s="26"/>
      <c r="Q452" s="26"/>
      <c r="R452" s="26"/>
      <c r="S452" s="26"/>
      <c r="T452" s="26"/>
      <c r="U452" s="26"/>
      <c r="V452" s="26"/>
      <c r="W452" s="26"/>
    </row>
    <row r="453" spans="1:23">
      <c r="A453" s="26"/>
      <c r="B453" s="26"/>
      <c r="C453" s="26"/>
      <c r="D453" s="26"/>
      <c r="E453" s="26"/>
      <c r="F453" s="26"/>
      <c r="G453" s="26"/>
      <c r="H453" s="26"/>
      <c r="I453" s="26"/>
      <c r="J453" s="26"/>
      <c r="K453" s="26"/>
      <c r="L453" s="26"/>
      <c r="M453" s="26"/>
      <c r="N453" s="26"/>
      <c r="O453" s="26"/>
      <c r="P453" s="26"/>
      <c r="Q453" s="26"/>
      <c r="R453" s="26"/>
      <c r="S453" s="26"/>
      <c r="T453" s="26"/>
      <c r="U453" s="26"/>
      <c r="V453" s="26"/>
      <c r="W453" s="26"/>
    </row>
    <row r="454" spans="1:23">
      <c r="A454" s="26"/>
      <c r="B454" s="26"/>
      <c r="C454" s="26"/>
      <c r="D454" s="26"/>
      <c r="E454" s="26"/>
      <c r="F454" s="26"/>
      <c r="G454" s="26"/>
      <c r="H454" s="26"/>
      <c r="I454" s="26"/>
      <c r="J454" s="26"/>
      <c r="K454" s="26"/>
      <c r="L454" s="26"/>
      <c r="M454" s="26"/>
      <c r="N454" s="26"/>
      <c r="O454" s="26"/>
      <c r="P454" s="26"/>
      <c r="Q454" s="26"/>
      <c r="R454" s="26"/>
      <c r="S454" s="26"/>
      <c r="T454" s="26"/>
      <c r="U454" s="26"/>
      <c r="V454" s="26"/>
      <c r="W454" s="26"/>
    </row>
    <row r="455" spans="1:23">
      <c r="A455" s="26"/>
      <c r="B455" s="26"/>
      <c r="C455" s="26"/>
      <c r="D455" s="26"/>
      <c r="E455" s="26"/>
      <c r="F455" s="26"/>
      <c r="G455" s="26"/>
      <c r="H455" s="26"/>
      <c r="I455" s="26"/>
      <c r="J455" s="26"/>
      <c r="K455" s="26"/>
      <c r="L455" s="26"/>
      <c r="M455" s="26"/>
      <c r="N455" s="26"/>
      <c r="O455" s="26"/>
      <c r="P455" s="26"/>
      <c r="Q455" s="26"/>
      <c r="R455" s="26"/>
      <c r="S455" s="26"/>
      <c r="T455" s="26"/>
      <c r="U455" s="26"/>
      <c r="V455" s="26"/>
      <c r="W455" s="26"/>
    </row>
    <row r="456" spans="1:23">
      <c r="A456" s="26"/>
      <c r="B456" s="26"/>
      <c r="C456" s="26"/>
      <c r="D456" s="26"/>
      <c r="E456" s="26"/>
      <c r="F456" s="26"/>
      <c r="G456" s="26"/>
      <c r="H456" s="26"/>
      <c r="I456" s="26"/>
      <c r="J456" s="26"/>
      <c r="K456" s="26"/>
      <c r="L456" s="26"/>
      <c r="M456" s="26"/>
      <c r="N456" s="26"/>
      <c r="O456" s="26"/>
      <c r="P456" s="26"/>
      <c r="Q456" s="26"/>
      <c r="R456" s="26"/>
      <c r="S456" s="26"/>
      <c r="T456" s="26"/>
      <c r="U456" s="26"/>
      <c r="V456" s="26"/>
      <c r="W456" s="26"/>
    </row>
    <row r="457" spans="1:23">
      <c r="A457" s="26"/>
      <c r="B457" s="26"/>
      <c r="C457" s="26"/>
      <c r="D457" s="26"/>
      <c r="E457" s="26"/>
      <c r="F457" s="26"/>
      <c r="G457" s="26"/>
      <c r="H457" s="26"/>
      <c r="I457" s="26"/>
      <c r="J457" s="26"/>
      <c r="K457" s="26"/>
      <c r="L457" s="26"/>
      <c r="M457" s="26"/>
      <c r="N457" s="26"/>
      <c r="O457" s="26"/>
      <c r="P457" s="26"/>
      <c r="Q457" s="26"/>
      <c r="R457" s="26"/>
      <c r="S457" s="26"/>
      <c r="T457" s="26"/>
      <c r="U457" s="26"/>
      <c r="V457" s="26"/>
      <c r="W457" s="26"/>
    </row>
    <row r="458" spans="1:23">
      <c r="A458" s="26"/>
      <c r="B458" s="26"/>
      <c r="C458" s="26"/>
      <c r="D458" s="26"/>
      <c r="E458" s="26"/>
      <c r="F458" s="26"/>
      <c r="G458" s="26"/>
      <c r="H458" s="26"/>
      <c r="I458" s="26"/>
      <c r="J458" s="26"/>
      <c r="K458" s="26"/>
      <c r="L458" s="26"/>
      <c r="M458" s="26"/>
      <c r="N458" s="26"/>
      <c r="O458" s="26"/>
      <c r="P458" s="26"/>
      <c r="Q458" s="26"/>
      <c r="R458" s="26"/>
      <c r="S458" s="26"/>
      <c r="T458" s="26"/>
      <c r="U458" s="26"/>
      <c r="V458" s="26"/>
      <c r="W458" s="26"/>
    </row>
    <row r="459" spans="1:23">
      <c r="A459" s="26"/>
      <c r="B459" s="26"/>
      <c r="C459" s="26"/>
      <c r="D459" s="26"/>
      <c r="E459" s="26"/>
      <c r="F459" s="26"/>
      <c r="G459" s="26"/>
      <c r="H459" s="26"/>
      <c r="I459" s="26"/>
      <c r="J459" s="26"/>
      <c r="K459" s="26"/>
      <c r="L459" s="26"/>
      <c r="M459" s="26"/>
      <c r="N459" s="26"/>
      <c r="O459" s="26"/>
      <c r="P459" s="26"/>
      <c r="Q459" s="26"/>
      <c r="R459" s="26"/>
      <c r="S459" s="26"/>
      <c r="T459" s="26"/>
      <c r="U459" s="26"/>
      <c r="V459" s="26"/>
      <c r="W459" s="26"/>
    </row>
    <row r="460" spans="1:23">
      <c r="A460" s="26"/>
      <c r="B460" s="26"/>
      <c r="C460" s="26"/>
      <c r="D460" s="26"/>
      <c r="E460" s="26"/>
      <c r="F460" s="26"/>
      <c r="G460" s="26"/>
      <c r="H460" s="26"/>
      <c r="I460" s="26"/>
      <c r="J460" s="26"/>
      <c r="K460" s="26"/>
      <c r="L460" s="26"/>
      <c r="M460" s="26"/>
      <c r="N460" s="26"/>
      <c r="O460" s="26"/>
      <c r="P460" s="26"/>
      <c r="Q460" s="26"/>
      <c r="R460" s="26"/>
      <c r="S460" s="26"/>
      <c r="T460" s="26"/>
      <c r="U460" s="26"/>
      <c r="V460" s="26"/>
      <c r="W460" s="26"/>
    </row>
    <row r="461" spans="1:23">
      <c r="A461" s="26"/>
      <c r="B461" s="26"/>
      <c r="C461" s="26"/>
      <c r="D461" s="26"/>
      <c r="E461" s="26"/>
      <c r="F461" s="26"/>
      <c r="G461" s="26"/>
      <c r="H461" s="26"/>
      <c r="I461" s="26"/>
      <c r="J461" s="26"/>
      <c r="K461" s="26"/>
      <c r="L461" s="26"/>
      <c r="M461" s="26"/>
      <c r="N461" s="26"/>
      <c r="O461" s="26"/>
      <c r="P461" s="26"/>
      <c r="Q461" s="26"/>
      <c r="R461" s="26"/>
      <c r="S461" s="26"/>
      <c r="T461" s="26"/>
      <c r="U461" s="26"/>
      <c r="V461" s="26"/>
      <c r="W461" s="26"/>
    </row>
    <row r="462" spans="1:23">
      <c r="A462" s="26"/>
      <c r="B462" s="26"/>
      <c r="C462" s="26"/>
      <c r="D462" s="26"/>
      <c r="E462" s="26"/>
      <c r="F462" s="26"/>
      <c r="G462" s="26"/>
      <c r="H462" s="26"/>
      <c r="I462" s="26"/>
      <c r="J462" s="26"/>
      <c r="K462" s="26"/>
      <c r="L462" s="26"/>
      <c r="M462" s="26"/>
      <c r="N462" s="26"/>
      <c r="O462" s="26"/>
      <c r="P462" s="26"/>
      <c r="Q462" s="26"/>
      <c r="R462" s="26"/>
      <c r="S462" s="26"/>
      <c r="T462" s="26"/>
      <c r="U462" s="26"/>
      <c r="V462" s="26"/>
      <c r="W462" s="26"/>
    </row>
    <row r="463" spans="1:23">
      <c r="A463" s="26"/>
      <c r="B463" s="26"/>
      <c r="C463" s="26"/>
      <c r="D463" s="26"/>
      <c r="E463" s="26"/>
      <c r="F463" s="26"/>
      <c r="G463" s="26"/>
      <c r="H463" s="26"/>
      <c r="I463" s="26"/>
      <c r="J463" s="26"/>
      <c r="K463" s="26"/>
      <c r="L463" s="26"/>
      <c r="M463" s="26"/>
      <c r="N463" s="26"/>
      <c r="O463" s="26"/>
      <c r="P463" s="26"/>
      <c r="Q463" s="26"/>
      <c r="R463" s="26"/>
      <c r="S463" s="26"/>
      <c r="T463" s="26"/>
      <c r="U463" s="26"/>
      <c r="V463" s="26"/>
      <c r="W463" s="26"/>
    </row>
    <row r="464" spans="1:23">
      <c r="A464" s="26"/>
      <c r="B464" s="26"/>
      <c r="C464" s="26"/>
      <c r="D464" s="26"/>
      <c r="E464" s="26"/>
      <c r="F464" s="26"/>
      <c r="G464" s="26"/>
      <c r="H464" s="26"/>
      <c r="I464" s="26"/>
      <c r="J464" s="26"/>
      <c r="K464" s="26"/>
      <c r="L464" s="26"/>
      <c r="M464" s="26"/>
      <c r="N464" s="26"/>
      <c r="O464" s="26"/>
      <c r="P464" s="26"/>
      <c r="Q464" s="26"/>
      <c r="R464" s="26"/>
      <c r="S464" s="26"/>
      <c r="T464" s="26"/>
      <c r="U464" s="26"/>
      <c r="V464" s="26"/>
      <c r="W464" s="26"/>
    </row>
    <row r="465" spans="1:23">
      <c r="A465" s="26"/>
      <c r="B465" s="26"/>
      <c r="C465" s="26"/>
      <c r="D465" s="26"/>
      <c r="E465" s="26"/>
      <c r="F465" s="26"/>
      <c r="G465" s="26"/>
      <c r="H465" s="26"/>
      <c r="I465" s="26"/>
      <c r="J465" s="26"/>
      <c r="K465" s="26"/>
      <c r="L465" s="26"/>
      <c r="M465" s="26"/>
      <c r="N465" s="26"/>
      <c r="O465" s="26"/>
      <c r="P465" s="26"/>
      <c r="Q465" s="26"/>
      <c r="R465" s="26"/>
      <c r="S465" s="26"/>
      <c r="T465" s="26"/>
      <c r="U465" s="26"/>
      <c r="V465" s="26"/>
      <c r="W465" s="26"/>
    </row>
    <row r="466" spans="1:23">
      <c r="A466" s="26"/>
      <c r="B466" s="26"/>
      <c r="C466" s="26"/>
      <c r="D466" s="26"/>
      <c r="E466" s="26"/>
      <c r="F466" s="26"/>
      <c r="G466" s="26"/>
      <c r="H466" s="26"/>
      <c r="I466" s="26"/>
      <c r="J466" s="26"/>
      <c r="K466" s="26"/>
      <c r="L466" s="26"/>
      <c r="M466" s="26"/>
      <c r="N466" s="26"/>
      <c r="O466" s="26"/>
      <c r="P466" s="26"/>
      <c r="Q466" s="26"/>
      <c r="R466" s="26"/>
      <c r="S466" s="26"/>
      <c r="T466" s="26"/>
      <c r="U466" s="26"/>
      <c r="V466" s="26"/>
      <c r="W466" s="26"/>
    </row>
    <row r="467" spans="1:23">
      <c r="A467" s="26"/>
      <c r="B467" s="26"/>
      <c r="C467" s="26"/>
      <c r="D467" s="26"/>
      <c r="E467" s="26"/>
      <c r="F467" s="26"/>
      <c r="G467" s="26"/>
      <c r="H467" s="26"/>
      <c r="I467" s="26"/>
      <c r="J467" s="26"/>
      <c r="K467" s="26"/>
      <c r="L467" s="26"/>
      <c r="M467" s="26"/>
      <c r="N467" s="26"/>
      <c r="O467" s="26"/>
      <c r="P467" s="26"/>
      <c r="Q467" s="26"/>
      <c r="R467" s="26"/>
      <c r="S467" s="26"/>
      <c r="T467" s="26"/>
      <c r="U467" s="26"/>
      <c r="V467" s="26"/>
      <c r="W467" s="26"/>
    </row>
    <row r="468" spans="1:23">
      <c r="A468" s="26"/>
      <c r="B468" s="26"/>
      <c r="C468" s="26"/>
      <c r="D468" s="26"/>
      <c r="E468" s="26"/>
      <c r="F468" s="26"/>
      <c r="G468" s="26"/>
      <c r="H468" s="26"/>
      <c r="I468" s="26"/>
      <c r="J468" s="26"/>
      <c r="K468" s="26"/>
      <c r="L468" s="26"/>
      <c r="M468" s="26"/>
      <c r="N468" s="26"/>
      <c r="O468" s="26"/>
      <c r="P468" s="26"/>
      <c r="Q468" s="26"/>
      <c r="R468" s="26"/>
      <c r="S468" s="26"/>
      <c r="T468" s="26"/>
      <c r="U468" s="26"/>
      <c r="V468" s="26"/>
      <c r="W468" s="26"/>
    </row>
    <row r="469" spans="1:23">
      <c r="A469" s="26"/>
      <c r="B469" s="26"/>
      <c r="C469" s="26"/>
      <c r="D469" s="26"/>
      <c r="E469" s="26"/>
      <c r="F469" s="26"/>
      <c r="G469" s="26"/>
      <c r="H469" s="26"/>
      <c r="I469" s="26"/>
      <c r="J469" s="26"/>
      <c r="K469" s="26"/>
      <c r="L469" s="26"/>
      <c r="M469" s="26"/>
      <c r="N469" s="26"/>
      <c r="O469" s="26"/>
      <c r="P469" s="26"/>
      <c r="Q469" s="26"/>
      <c r="R469" s="26"/>
      <c r="S469" s="26"/>
      <c r="T469" s="26"/>
      <c r="U469" s="26"/>
      <c r="V469" s="26"/>
      <c r="W469" s="26"/>
    </row>
    <row r="470" spans="1:23">
      <c r="A470" s="26"/>
      <c r="B470" s="26"/>
      <c r="C470" s="26"/>
      <c r="D470" s="26"/>
      <c r="E470" s="26"/>
      <c r="F470" s="26"/>
      <c r="G470" s="26"/>
      <c r="H470" s="26"/>
      <c r="I470" s="26"/>
      <c r="J470" s="26"/>
      <c r="K470" s="26"/>
      <c r="L470" s="26"/>
      <c r="M470" s="26"/>
      <c r="N470" s="26"/>
      <c r="O470" s="26"/>
      <c r="P470" s="26"/>
      <c r="Q470" s="26"/>
      <c r="R470" s="26"/>
      <c r="S470" s="26"/>
      <c r="T470" s="26"/>
      <c r="U470" s="26"/>
      <c r="V470" s="26"/>
      <c r="W470" s="26"/>
    </row>
    <row r="471" spans="1:23">
      <c r="A471" s="26"/>
      <c r="B471" s="26"/>
      <c r="C471" s="26"/>
      <c r="D471" s="26"/>
      <c r="E471" s="26"/>
      <c r="F471" s="26"/>
      <c r="G471" s="26"/>
      <c r="H471" s="26"/>
      <c r="I471" s="26"/>
      <c r="J471" s="26"/>
      <c r="K471" s="26"/>
      <c r="L471" s="26"/>
      <c r="M471" s="26"/>
      <c r="N471" s="26"/>
      <c r="O471" s="26"/>
      <c r="P471" s="26"/>
      <c r="Q471" s="26"/>
      <c r="R471" s="26"/>
      <c r="S471" s="26"/>
      <c r="T471" s="26"/>
      <c r="U471" s="26"/>
      <c r="V471" s="26"/>
      <c r="W471" s="26"/>
    </row>
    <row r="472" spans="1:23">
      <c r="A472" s="26"/>
      <c r="B472" s="26"/>
      <c r="C472" s="26"/>
      <c r="D472" s="26"/>
      <c r="E472" s="26"/>
      <c r="F472" s="26"/>
      <c r="G472" s="26"/>
      <c r="H472" s="26"/>
      <c r="I472" s="26"/>
      <c r="J472" s="26"/>
      <c r="K472" s="26"/>
      <c r="L472" s="26"/>
      <c r="M472" s="26"/>
      <c r="N472" s="26"/>
      <c r="O472" s="26"/>
      <c r="P472" s="26"/>
      <c r="Q472" s="26"/>
      <c r="R472" s="26"/>
      <c r="S472" s="26"/>
      <c r="T472" s="26"/>
      <c r="U472" s="26"/>
      <c r="V472" s="26"/>
      <c r="W472" s="26"/>
    </row>
    <row r="473" spans="1:23">
      <c r="A473" s="26"/>
      <c r="B473" s="26"/>
      <c r="C473" s="26"/>
      <c r="D473" s="26"/>
      <c r="E473" s="26"/>
      <c r="F473" s="26"/>
      <c r="G473" s="26"/>
      <c r="H473" s="26"/>
      <c r="I473" s="26"/>
      <c r="J473" s="26"/>
      <c r="K473" s="26"/>
      <c r="L473" s="26"/>
      <c r="M473" s="26"/>
      <c r="N473" s="26"/>
      <c r="O473" s="26"/>
      <c r="P473" s="26"/>
      <c r="Q473" s="26"/>
      <c r="R473" s="26"/>
      <c r="S473" s="26"/>
      <c r="T473" s="26"/>
      <c r="U473" s="26"/>
      <c r="V473" s="26"/>
      <c r="W473" s="26"/>
    </row>
    <row r="474" spans="1:23">
      <c r="A474" s="26"/>
      <c r="B474" s="26"/>
      <c r="C474" s="26"/>
      <c r="D474" s="26"/>
      <c r="E474" s="26"/>
      <c r="F474" s="26"/>
      <c r="G474" s="26"/>
      <c r="H474" s="26"/>
      <c r="I474" s="26"/>
      <c r="J474" s="26"/>
      <c r="K474" s="26"/>
      <c r="L474" s="26"/>
      <c r="M474" s="26"/>
      <c r="N474" s="26"/>
      <c r="O474" s="26"/>
      <c r="P474" s="26"/>
      <c r="Q474" s="26"/>
      <c r="R474" s="26"/>
      <c r="S474" s="26"/>
      <c r="T474" s="26"/>
      <c r="U474" s="26"/>
      <c r="V474" s="26"/>
      <c r="W474" s="26"/>
    </row>
    <row r="475" spans="1:23">
      <c r="A475" s="26"/>
      <c r="B475" s="26"/>
      <c r="C475" s="26"/>
      <c r="D475" s="26"/>
      <c r="E475" s="26"/>
      <c r="F475" s="26"/>
      <c r="G475" s="26"/>
      <c r="H475" s="26"/>
      <c r="I475" s="26"/>
      <c r="J475" s="26"/>
      <c r="K475" s="26"/>
      <c r="L475" s="26"/>
      <c r="M475" s="26"/>
      <c r="N475" s="26"/>
      <c r="O475" s="26"/>
      <c r="P475" s="26"/>
      <c r="Q475" s="26"/>
      <c r="R475" s="26"/>
      <c r="S475" s="26"/>
      <c r="T475" s="26"/>
      <c r="U475" s="26"/>
      <c r="V475" s="26"/>
      <c r="W475" s="26"/>
    </row>
    <row r="476" spans="1:23">
      <c r="A476" s="26"/>
      <c r="B476" s="26"/>
      <c r="C476" s="26"/>
      <c r="D476" s="26"/>
      <c r="E476" s="26"/>
      <c r="F476" s="26"/>
      <c r="G476" s="26"/>
      <c r="H476" s="26"/>
      <c r="I476" s="26"/>
      <c r="J476" s="26"/>
      <c r="K476" s="26"/>
      <c r="L476" s="26"/>
      <c r="M476" s="26"/>
      <c r="N476" s="26"/>
      <c r="O476" s="26"/>
      <c r="P476" s="26"/>
      <c r="Q476" s="26"/>
      <c r="R476" s="26"/>
      <c r="S476" s="26"/>
      <c r="T476" s="26"/>
      <c r="U476" s="26"/>
      <c r="V476" s="26"/>
      <c r="W476" s="26"/>
    </row>
    <row r="477" spans="1:23">
      <c r="A477" s="26"/>
      <c r="B477" s="26"/>
      <c r="C477" s="26"/>
      <c r="D477" s="26"/>
      <c r="E477" s="26"/>
      <c r="F477" s="26"/>
      <c r="G477" s="26"/>
      <c r="H477" s="26"/>
      <c r="I477" s="26"/>
      <c r="J477" s="26"/>
      <c r="K477" s="26"/>
      <c r="L477" s="26"/>
      <c r="M477" s="26"/>
      <c r="N477" s="26"/>
      <c r="O477" s="26"/>
      <c r="P477" s="26"/>
      <c r="Q477" s="26"/>
      <c r="R477" s="26"/>
      <c r="S477" s="26"/>
      <c r="T477" s="26"/>
      <c r="U477" s="26"/>
      <c r="V477" s="26"/>
      <c r="W477" s="26"/>
    </row>
    <row r="478" spans="1:23">
      <c r="A478" s="26"/>
      <c r="B478" s="26"/>
      <c r="C478" s="26"/>
      <c r="D478" s="26"/>
      <c r="E478" s="26"/>
      <c r="F478" s="26"/>
      <c r="G478" s="26"/>
      <c r="H478" s="26"/>
      <c r="I478" s="26"/>
      <c r="J478" s="26"/>
      <c r="K478" s="26"/>
      <c r="L478" s="26"/>
      <c r="M478" s="26"/>
      <c r="N478" s="26"/>
      <c r="O478" s="26"/>
      <c r="P478" s="26"/>
      <c r="Q478" s="26"/>
      <c r="R478" s="26"/>
      <c r="S478" s="26"/>
      <c r="T478" s="26"/>
      <c r="U478" s="26"/>
      <c r="V478" s="26"/>
      <c r="W478" s="26"/>
    </row>
    <row r="479" spans="1:23">
      <c r="A479" s="26"/>
      <c r="B479" s="26"/>
      <c r="C479" s="26"/>
      <c r="D479" s="26"/>
      <c r="E479" s="26"/>
      <c r="F479" s="26"/>
      <c r="G479" s="26"/>
      <c r="H479" s="26"/>
      <c r="I479" s="26"/>
      <c r="J479" s="26"/>
      <c r="K479" s="26"/>
      <c r="L479" s="26"/>
      <c r="M479" s="26"/>
      <c r="N479" s="26"/>
      <c r="O479" s="26"/>
      <c r="P479" s="26"/>
      <c r="Q479" s="26"/>
      <c r="R479" s="26"/>
      <c r="S479" s="26"/>
      <c r="T479" s="26"/>
      <c r="U479" s="26"/>
      <c r="V479" s="26"/>
      <c r="W479" s="26"/>
    </row>
    <row r="480" spans="1:23">
      <c r="A480" s="26"/>
      <c r="B480" s="26"/>
      <c r="C480" s="26"/>
      <c r="D480" s="26"/>
      <c r="E480" s="26"/>
      <c r="F480" s="26"/>
      <c r="G480" s="26"/>
      <c r="H480" s="26"/>
      <c r="I480" s="26"/>
      <c r="J480" s="26"/>
      <c r="K480" s="26"/>
      <c r="L480" s="26"/>
      <c r="M480" s="26"/>
      <c r="N480" s="26"/>
      <c r="O480" s="26"/>
      <c r="P480" s="26"/>
      <c r="Q480" s="26"/>
      <c r="R480" s="26"/>
      <c r="S480" s="26"/>
      <c r="T480" s="26"/>
      <c r="U480" s="26"/>
      <c r="V480" s="26"/>
      <c r="W480" s="26"/>
    </row>
    <row r="481" spans="1:23">
      <c r="A481" s="26"/>
      <c r="B481" s="26"/>
      <c r="C481" s="26"/>
      <c r="D481" s="26"/>
      <c r="E481" s="26"/>
      <c r="F481" s="26"/>
      <c r="G481" s="26"/>
      <c r="H481" s="26"/>
      <c r="I481" s="26"/>
      <c r="J481" s="26"/>
      <c r="K481" s="26"/>
      <c r="L481" s="26"/>
      <c r="M481" s="26"/>
      <c r="N481" s="26"/>
      <c r="O481" s="26"/>
      <c r="P481" s="26"/>
      <c r="Q481" s="26"/>
      <c r="R481" s="26"/>
      <c r="S481" s="26"/>
      <c r="T481" s="26"/>
      <c r="U481" s="26"/>
      <c r="V481" s="26"/>
      <c r="W481" s="26"/>
    </row>
    <row r="482" spans="1:23">
      <c r="A482" s="26"/>
      <c r="B482" s="26"/>
      <c r="C482" s="26"/>
      <c r="D482" s="26"/>
      <c r="E482" s="26"/>
      <c r="F482" s="26"/>
      <c r="G482" s="26"/>
      <c r="H482" s="26"/>
      <c r="I482" s="26"/>
      <c r="J482" s="26"/>
      <c r="K482" s="26"/>
      <c r="L482" s="26"/>
      <c r="M482" s="26"/>
      <c r="N482" s="26"/>
      <c r="O482" s="26"/>
      <c r="P482" s="26"/>
      <c r="Q482" s="26"/>
      <c r="R482" s="26"/>
      <c r="S482" s="26"/>
      <c r="T482" s="26"/>
      <c r="U482" s="26"/>
      <c r="V482" s="26"/>
      <c r="W482" s="26"/>
    </row>
    <row r="483" spans="1:23">
      <c r="A483" s="26"/>
      <c r="B483" s="26"/>
      <c r="C483" s="26"/>
      <c r="D483" s="26"/>
      <c r="E483" s="26"/>
      <c r="F483" s="26"/>
      <c r="G483" s="26"/>
      <c r="H483" s="26"/>
      <c r="I483" s="26"/>
      <c r="J483" s="26"/>
      <c r="K483" s="26"/>
      <c r="L483" s="26"/>
      <c r="M483" s="26"/>
      <c r="N483" s="26"/>
      <c r="O483" s="26"/>
      <c r="P483" s="26"/>
      <c r="Q483" s="26"/>
      <c r="R483" s="26"/>
      <c r="S483" s="26"/>
      <c r="T483" s="26"/>
      <c r="U483" s="26"/>
      <c r="V483" s="26"/>
      <c r="W483" s="26"/>
    </row>
    <row r="484" spans="1:23">
      <c r="A484" s="26"/>
      <c r="B484" s="26"/>
      <c r="C484" s="26"/>
      <c r="D484" s="26"/>
      <c r="E484" s="26"/>
      <c r="F484" s="26"/>
      <c r="G484" s="26"/>
      <c r="H484" s="26"/>
      <c r="I484" s="26"/>
      <c r="J484" s="26"/>
      <c r="K484" s="26"/>
      <c r="L484" s="26"/>
      <c r="M484" s="26"/>
      <c r="N484" s="26"/>
      <c r="O484" s="26"/>
      <c r="P484" s="26"/>
      <c r="Q484" s="26"/>
      <c r="R484" s="26"/>
      <c r="S484" s="26"/>
      <c r="T484" s="26"/>
      <c r="U484" s="26"/>
      <c r="V484" s="26"/>
      <c r="W484" s="26"/>
    </row>
    <row r="485" spans="1:23">
      <c r="A485" s="26"/>
      <c r="B485" s="26"/>
      <c r="C485" s="26"/>
      <c r="D485" s="26"/>
      <c r="E485" s="26"/>
      <c r="F485" s="26"/>
      <c r="G485" s="26"/>
      <c r="H485" s="26"/>
      <c r="I485" s="26"/>
      <c r="J485" s="26"/>
      <c r="K485" s="26"/>
      <c r="L485" s="26"/>
      <c r="M485" s="26"/>
      <c r="N485" s="26"/>
      <c r="O485" s="26"/>
      <c r="P485" s="26"/>
      <c r="Q485" s="26"/>
      <c r="R485" s="26"/>
      <c r="S485" s="26"/>
      <c r="T485" s="26"/>
      <c r="U485" s="26"/>
      <c r="V485" s="26"/>
      <c r="W485" s="26"/>
    </row>
    <row r="486" spans="1:23">
      <c r="A486" s="26"/>
      <c r="B486" s="26"/>
      <c r="C486" s="26"/>
      <c r="D486" s="26"/>
      <c r="E486" s="26"/>
      <c r="F486" s="26"/>
      <c r="G486" s="26"/>
      <c r="H486" s="26"/>
      <c r="I486" s="26"/>
      <c r="J486" s="26"/>
      <c r="K486" s="26"/>
      <c r="L486" s="26"/>
      <c r="M486" s="26"/>
      <c r="N486" s="26"/>
      <c r="O486" s="26"/>
      <c r="P486" s="26"/>
      <c r="Q486" s="26"/>
      <c r="R486" s="26"/>
      <c r="S486" s="26"/>
      <c r="T486" s="26"/>
      <c r="U486" s="26"/>
      <c r="V486" s="26"/>
      <c r="W486" s="26"/>
    </row>
    <row r="487" spans="1:23">
      <c r="A487" s="26"/>
      <c r="B487" s="26"/>
      <c r="C487" s="26"/>
      <c r="D487" s="26"/>
      <c r="E487" s="26"/>
      <c r="F487" s="26"/>
      <c r="G487" s="26"/>
      <c r="H487" s="26"/>
      <c r="I487" s="26"/>
      <c r="J487" s="26"/>
      <c r="K487" s="26"/>
      <c r="L487" s="26"/>
      <c r="M487" s="26"/>
      <c r="N487" s="26"/>
      <c r="O487" s="26"/>
      <c r="P487" s="26"/>
      <c r="Q487" s="26"/>
      <c r="R487" s="26"/>
      <c r="S487" s="26"/>
      <c r="T487" s="26"/>
      <c r="U487" s="26"/>
      <c r="V487" s="26"/>
      <c r="W487" s="26"/>
    </row>
    <row r="488" spans="1:23">
      <c r="A488" s="26"/>
      <c r="B488" s="26"/>
      <c r="C488" s="26"/>
      <c r="D488" s="26"/>
      <c r="E488" s="26"/>
      <c r="F488" s="26"/>
      <c r="G488" s="26"/>
      <c r="H488" s="26"/>
      <c r="I488" s="26"/>
      <c r="J488" s="26"/>
      <c r="K488" s="26"/>
      <c r="L488" s="26"/>
      <c r="M488" s="26"/>
      <c r="N488" s="26"/>
      <c r="O488" s="26"/>
      <c r="P488" s="26"/>
      <c r="Q488" s="26"/>
      <c r="R488" s="26"/>
      <c r="S488" s="26"/>
      <c r="T488" s="26"/>
      <c r="U488" s="26"/>
      <c r="V488" s="26"/>
      <c r="W488" s="26"/>
    </row>
    <row r="489" spans="1:23">
      <c r="A489" s="26"/>
      <c r="B489" s="26"/>
      <c r="C489" s="26"/>
      <c r="D489" s="26"/>
      <c r="E489" s="26"/>
      <c r="F489" s="26"/>
      <c r="G489" s="26"/>
      <c r="H489" s="26"/>
      <c r="I489" s="26"/>
      <c r="J489" s="26"/>
      <c r="K489" s="26"/>
      <c r="L489" s="26"/>
      <c r="M489" s="26"/>
      <c r="N489" s="26"/>
      <c r="O489" s="26"/>
      <c r="P489" s="26"/>
      <c r="Q489" s="26"/>
      <c r="R489" s="26"/>
      <c r="S489" s="26"/>
      <c r="T489" s="26"/>
      <c r="U489" s="26"/>
      <c r="V489" s="26"/>
      <c r="W489" s="26"/>
    </row>
    <row r="490" spans="1:23">
      <c r="A490" s="26"/>
      <c r="B490" s="26"/>
      <c r="C490" s="26"/>
      <c r="D490" s="26"/>
      <c r="E490" s="26"/>
      <c r="F490" s="26"/>
      <c r="G490" s="26"/>
      <c r="H490" s="26"/>
      <c r="I490" s="26"/>
      <c r="J490" s="26"/>
      <c r="K490" s="26"/>
      <c r="L490" s="26"/>
      <c r="M490" s="26"/>
      <c r="N490" s="26"/>
      <c r="O490" s="26"/>
      <c r="P490" s="26"/>
      <c r="Q490" s="26"/>
      <c r="R490" s="26"/>
      <c r="S490" s="26"/>
      <c r="T490" s="26"/>
      <c r="U490" s="26"/>
      <c r="V490" s="26"/>
      <c r="W490" s="26"/>
    </row>
    <row r="491" spans="1:23">
      <c r="A491" s="26"/>
      <c r="B491" s="26"/>
      <c r="C491" s="26"/>
      <c r="D491" s="26"/>
      <c r="E491" s="26"/>
      <c r="F491" s="26"/>
      <c r="G491" s="26"/>
      <c r="H491" s="26"/>
      <c r="I491" s="26"/>
      <c r="J491" s="26"/>
      <c r="K491" s="26"/>
      <c r="L491" s="26"/>
      <c r="M491" s="26"/>
      <c r="N491" s="26"/>
      <c r="O491" s="26"/>
      <c r="P491" s="26"/>
      <c r="Q491" s="26"/>
      <c r="R491" s="26"/>
      <c r="S491" s="26"/>
      <c r="T491" s="26"/>
      <c r="U491" s="26"/>
      <c r="V491" s="26"/>
      <c r="W491" s="26"/>
    </row>
    <row r="492" spans="1:23">
      <c r="A492" s="26"/>
      <c r="B492" s="26"/>
      <c r="C492" s="26"/>
      <c r="D492" s="26"/>
      <c r="E492" s="26"/>
      <c r="F492" s="26"/>
      <c r="G492" s="26"/>
      <c r="H492" s="26"/>
      <c r="I492" s="26"/>
      <c r="J492" s="26"/>
      <c r="K492" s="26"/>
      <c r="L492" s="26"/>
      <c r="M492" s="26"/>
      <c r="N492" s="26"/>
      <c r="O492" s="26"/>
      <c r="P492" s="26"/>
      <c r="Q492" s="26"/>
      <c r="R492" s="26"/>
      <c r="S492" s="26"/>
      <c r="T492" s="26"/>
      <c r="U492" s="26"/>
      <c r="V492" s="26"/>
      <c r="W492" s="26"/>
    </row>
    <row r="493" spans="1:23">
      <c r="A493" s="26"/>
      <c r="B493" s="26"/>
      <c r="C493" s="26"/>
      <c r="D493" s="26"/>
      <c r="E493" s="26"/>
      <c r="F493" s="26"/>
      <c r="G493" s="26"/>
      <c r="H493" s="26"/>
      <c r="I493" s="26"/>
      <c r="J493" s="26"/>
      <c r="K493" s="26"/>
      <c r="L493" s="26"/>
      <c r="M493" s="26"/>
      <c r="N493" s="26"/>
      <c r="O493" s="26"/>
      <c r="P493" s="26"/>
      <c r="Q493" s="26"/>
      <c r="R493" s="26"/>
      <c r="S493" s="26"/>
      <c r="T493" s="26"/>
      <c r="U493" s="26"/>
      <c r="V493" s="26"/>
      <c r="W493" s="26"/>
    </row>
    <row r="494" spans="1:23">
      <c r="A494" s="26"/>
      <c r="B494" s="26"/>
      <c r="C494" s="26"/>
      <c r="D494" s="26"/>
      <c r="E494" s="26"/>
      <c r="F494" s="26"/>
      <c r="G494" s="26"/>
      <c r="H494" s="26"/>
      <c r="I494" s="26"/>
      <c r="J494" s="26"/>
      <c r="K494" s="26"/>
      <c r="L494" s="26"/>
      <c r="M494" s="26"/>
      <c r="N494" s="26"/>
      <c r="O494" s="26"/>
      <c r="P494" s="26"/>
      <c r="Q494" s="26"/>
      <c r="R494" s="26"/>
      <c r="S494" s="26"/>
      <c r="T494" s="26"/>
      <c r="U494" s="26"/>
      <c r="V494" s="26"/>
      <c r="W494" s="26"/>
    </row>
    <row r="495" spans="1:23">
      <c r="A495" s="26"/>
      <c r="B495" s="26"/>
      <c r="C495" s="26"/>
      <c r="D495" s="26"/>
      <c r="E495" s="26"/>
      <c r="F495" s="26"/>
      <c r="G495" s="26"/>
      <c r="H495" s="26"/>
      <c r="I495" s="26"/>
      <c r="J495" s="26"/>
      <c r="K495" s="26"/>
      <c r="L495" s="26"/>
      <c r="M495" s="26"/>
      <c r="N495" s="26"/>
      <c r="O495" s="26"/>
      <c r="P495" s="26"/>
      <c r="Q495" s="26"/>
      <c r="R495" s="26"/>
      <c r="S495" s="26"/>
      <c r="T495" s="26"/>
      <c r="U495" s="26"/>
      <c r="V495" s="26"/>
      <c r="W495" s="26"/>
    </row>
    <row r="496" spans="1:23">
      <c r="A496" s="26"/>
      <c r="B496" s="26"/>
      <c r="C496" s="26"/>
      <c r="D496" s="26"/>
      <c r="E496" s="26"/>
      <c r="F496" s="26"/>
      <c r="G496" s="26"/>
      <c r="H496" s="26"/>
      <c r="I496" s="26"/>
      <c r="J496" s="26"/>
      <c r="K496" s="26"/>
      <c r="L496" s="26"/>
      <c r="M496" s="26"/>
      <c r="N496" s="26"/>
      <c r="O496" s="26"/>
      <c r="P496" s="26"/>
      <c r="Q496" s="26"/>
      <c r="R496" s="26"/>
      <c r="S496" s="26"/>
      <c r="T496" s="26"/>
      <c r="U496" s="26"/>
      <c r="V496" s="26"/>
      <c r="W496" s="26"/>
    </row>
    <row r="497" spans="1:23">
      <c r="A497" s="26"/>
      <c r="B497" s="26"/>
      <c r="C497" s="26"/>
      <c r="D497" s="26"/>
      <c r="E497" s="26"/>
      <c r="F497" s="26"/>
      <c r="G497" s="26"/>
      <c r="H497" s="26"/>
      <c r="I497" s="26"/>
      <c r="J497" s="26"/>
      <c r="K497" s="26"/>
      <c r="L497" s="26"/>
      <c r="M497" s="26"/>
      <c r="N497" s="26"/>
      <c r="O497" s="26"/>
      <c r="P497" s="26"/>
      <c r="Q497" s="26"/>
      <c r="R497" s="26"/>
      <c r="S497" s="26"/>
      <c r="T497" s="26"/>
      <c r="U497" s="26"/>
      <c r="V497" s="26"/>
      <c r="W497" s="26"/>
    </row>
    <row r="498" spans="1:23">
      <c r="A498" s="26"/>
      <c r="B498" s="26"/>
      <c r="C498" s="26"/>
      <c r="D498" s="26"/>
      <c r="E498" s="26"/>
      <c r="F498" s="26"/>
      <c r="G498" s="26"/>
      <c r="H498" s="26"/>
      <c r="I498" s="26"/>
      <c r="J498" s="26"/>
      <c r="K498" s="26"/>
      <c r="L498" s="26"/>
      <c r="M498" s="26"/>
      <c r="N498" s="26"/>
      <c r="O498" s="26"/>
      <c r="P498" s="26"/>
      <c r="Q498" s="26"/>
      <c r="R498" s="26"/>
      <c r="S498" s="26"/>
      <c r="T498" s="26"/>
      <c r="U498" s="26"/>
      <c r="V498" s="26"/>
      <c r="W498" s="26"/>
    </row>
    <row r="499" spans="1:23">
      <c r="A499" s="26"/>
      <c r="B499" s="26"/>
      <c r="C499" s="26"/>
      <c r="D499" s="26"/>
      <c r="E499" s="26"/>
      <c r="F499" s="26"/>
      <c r="G499" s="26"/>
      <c r="H499" s="26"/>
      <c r="I499" s="26"/>
      <c r="J499" s="26"/>
      <c r="K499" s="26"/>
      <c r="L499" s="26"/>
      <c r="M499" s="26"/>
      <c r="N499" s="26"/>
      <c r="O499" s="26"/>
      <c r="P499" s="26"/>
      <c r="Q499" s="26"/>
      <c r="R499" s="26"/>
      <c r="S499" s="26"/>
      <c r="T499" s="26"/>
      <c r="U499" s="26"/>
      <c r="V499" s="26"/>
      <c r="W499" s="26"/>
    </row>
    <row r="500" spans="1:23">
      <c r="A500" s="26"/>
      <c r="B500" s="26"/>
      <c r="C500" s="26"/>
      <c r="D500" s="26"/>
      <c r="E500" s="26"/>
      <c r="F500" s="26"/>
      <c r="G500" s="26"/>
      <c r="H500" s="26"/>
      <c r="I500" s="26"/>
      <c r="J500" s="26"/>
      <c r="K500" s="26"/>
      <c r="L500" s="26"/>
      <c r="M500" s="26"/>
      <c r="N500" s="26"/>
      <c r="O500" s="26"/>
      <c r="P500" s="26"/>
      <c r="Q500" s="26"/>
      <c r="R500" s="26"/>
      <c r="S500" s="26"/>
      <c r="T500" s="26"/>
      <c r="U500" s="26"/>
      <c r="V500" s="26"/>
      <c r="W500" s="26"/>
    </row>
    <row r="501" spans="1:23">
      <c r="A501" s="26"/>
      <c r="B501" s="26"/>
      <c r="C501" s="26"/>
      <c r="D501" s="26"/>
      <c r="E501" s="26"/>
      <c r="F501" s="26"/>
      <c r="G501" s="26"/>
      <c r="H501" s="26"/>
      <c r="I501" s="26"/>
      <c r="J501" s="26"/>
      <c r="K501" s="26"/>
      <c r="L501" s="26"/>
      <c r="M501" s="26"/>
      <c r="N501" s="26"/>
      <c r="O501" s="26"/>
      <c r="P501" s="26"/>
      <c r="Q501" s="26"/>
      <c r="R501" s="26"/>
      <c r="S501" s="26"/>
      <c r="T501" s="26"/>
      <c r="U501" s="26"/>
      <c r="V501" s="26"/>
      <c r="W501" s="26"/>
    </row>
    <row r="502" spans="1:23">
      <c r="A502" s="26"/>
      <c r="B502" s="26"/>
      <c r="C502" s="26"/>
      <c r="D502" s="26"/>
      <c r="E502" s="26"/>
      <c r="F502" s="26"/>
      <c r="G502" s="26"/>
      <c r="H502" s="26"/>
      <c r="I502" s="26"/>
      <c r="J502" s="26"/>
      <c r="K502" s="26"/>
      <c r="L502" s="26"/>
      <c r="M502" s="26"/>
      <c r="N502" s="26"/>
      <c r="O502" s="26"/>
      <c r="P502" s="26"/>
      <c r="Q502" s="26"/>
      <c r="R502" s="26"/>
      <c r="S502" s="26"/>
      <c r="T502" s="26"/>
      <c r="U502" s="26"/>
      <c r="V502" s="26"/>
      <c r="W502" s="26"/>
    </row>
    <row r="503" spans="1:23">
      <c r="A503" s="26"/>
      <c r="B503" s="26"/>
      <c r="C503" s="26"/>
      <c r="D503" s="26"/>
      <c r="E503" s="26"/>
      <c r="F503" s="26"/>
      <c r="G503" s="26"/>
      <c r="H503" s="26"/>
      <c r="I503" s="26"/>
      <c r="J503" s="26"/>
      <c r="K503" s="26"/>
      <c r="L503" s="26"/>
      <c r="M503" s="26"/>
      <c r="N503" s="26"/>
      <c r="O503" s="26"/>
      <c r="P503" s="26"/>
      <c r="Q503" s="26"/>
      <c r="R503" s="26"/>
      <c r="S503" s="26"/>
      <c r="T503" s="26"/>
      <c r="U503" s="26"/>
      <c r="V503" s="26"/>
      <c r="W503" s="26"/>
    </row>
    <row r="504" spans="1:23">
      <c r="A504" s="26"/>
      <c r="B504" s="26"/>
      <c r="C504" s="26"/>
      <c r="D504" s="26"/>
      <c r="E504" s="26"/>
      <c r="F504" s="26"/>
      <c r="G504" s="26"/>
      <c r="H504" s="26"/>
      <c r="I504" s="26"/>
      <c r="J504" s="26"/>
      <c r="K504" s="26"/>
      <c r="L504" s="26"/>
      <c r="M504" s="26"/>
      <c r="N504" s="26"/>
      <c r="O504" s="26"/>
      <c r="P504" s="26"/>
      <c r="Q504" s="26"/>
      <c r="R504" s="26"/>
      <c r="S504" s="26"/>
      <c r="T504" s="26"/>
      <c r="U504" s="26"/>
      <c r="V504" s="26"/>
      <c r="W504" s="26"/>
    </row>
    <row r="505" spans="1:23">
      <c r="A505" s="26"/>
      <c r="B505" s="26"/>
      <c r="C505" s="26"/>
      <c r="D505" s="26"/>
      <c r="E505" s="26"/>
      <c r="F505" s="26"/>
      <c r="G505" s="26"/>
      <c r="H505" s="26"/>
      <c r="I505" s="26"/>
      <c r="J505" s="26"/>
      <c r="K505" s="26"/>
      <c r="L505" s="26"/>
      <c r="M505" s="26"/>
      <c r="N505" s="26"/>
      <c r="O505" s="26"/>
      <c r="P505" s="26"/>
      <c r="Q505" s="26"/>
      <c r="R505" s="26"/>
      <c r="S505" s="26"/>
      <c r="T505" s="26"/>
      <c r="U505" s="26"/>
      <c r="V505" s="26"/>
      <c r="W505" s="26"/>
    </row>
    <row r="506" spans="1:23">
      <c r="A506" s="26"/>
      <c r="B506" s="26"/>
      <c r="C506" s="26"/>
      <c r="D506" s="26"/>
      <c r="E506" s="26"/>
      <c r="F506" s="26"/>
      <c r="G506" s="26"/>
      <c r="H506" s="26"/>
      <c r="I506" s="26"/>
      <c r="J506" s="26"/>
      <c r="K506" s="26"/>
      <c r="L506" s="26"/>
      <c r="M506" s="26"/>
      <c r="N506" s="26"/>
      <c r="O506" s="26"/>
      <c r="P506" s="26"/>
      <c r="Q506" s="26"/>
      <c r="R506" s="26"/>
      <c r="S506" s="26"/>
      <c r="T506" s="26"/>
      <c r="U506" s="26"/>
      <c r="V506" s="26"/>
      <c r="W506" s="26"/>
    </row>
    <row r="507" spans="1:23">
      <c r="A507" s="26"/>
      <c r="B507" s="26"/>
      <c r="C507" s="26"/>
      <c r="D507" s="26"/>
      <c r="E507" s="26"/>
      <c r="F507" s="26"/>
      <c r="G507" s="26"/>
      <c r="H507" s="26"/>
      <c r="I507" s="26"/>
      <c r="J507" s="26"/>
      <c r="K507" s="26"/>
      <c r="L507" s="26"/>
      <c r="M507" s="26"/>
      <c r="N507" s="26"/>
      <c r="O507" s="26"/>
      <c r="P507" s="26"/>
      <c r="Q507" s="26"/>
      <c r="R507" s="26"/>
      <c r="S507" s="26"/>
      <c r="T507" s="26"/>
      <c r="U507" s="26"/>
      <c r="V507" s="26"/>
      <c r="W507" s="26"/>
    </row>
    <row r="508" spans="1:23">
      <c r="A508" s="26"/>
      <c r="B508" s="26"/>
      <c r="C508" s="26"/>
      <c r="D508" s="26"/>
      <c r="E508" s="26"/>
      <c r="F508" s="26"/>
      <c r="G508" s="26"/>
      <c r="H508" s="26"/>
      <c r="I508" s="26"/>
      <c r="J508" s="26"/>
      <c r="K508" s="26"/>
      <c r="L508" s="26"/>
      <c r="M508" s="26"/>
      <c r="N508" s="26"/>
      <c r="O508" s="26"/>
      <c r="P508" s="26"/>
      <c r="Q508" s="26"/>
      <c r="R508" s="26"/>
      <c r="S508" s="26"/>
      <c r="T508" s="26"/>
      <c r="U508" s="26"/>
      <c r="V508" s="26"/>
      <c r="W508" s="26"/>
    </row>
    <row r="509" spans="1:23">
      <c r="A509" s="26"/>
      <c r="B509" s="26"/>
      <c r="C509" s="26"/>
      <c r="D509" s="26"/>
      <c r="E509" s="26"/>
      <c r="F509" s="26"/>
      <c r="G509" s="26"/>
      <c r="H509" s="26"/>
      <c r="I509" s="26"/>
      <c r="J509" s="26"/>
      <c r="K509" s="26"/>
      <c r="L509" s="26"/>
      <c r="M509" s="26"/>
      <c r="N509" s="26"/>
      <c r="O509" s="26"/>
      <c r="P509" s="26"/>
      <c r="Q509" s="26"/>
      <c r="R509" s="26"/>
      <c r="S509" s="26"/>
      <c r="T509" s="26"/>
      <c r="U509" s="26"/>
      <c r="V509" s="26"/>
      <c r="W509" s="26"/>
    </row>
    <row r="510" spans="1:23">
      <c r="A510" s="26"/>
      <c r="B510" s="26"/>
      <c r="C510" s="26"/>
      <c r="D510" s="26"/>
      <c r="E510" s="26"/>
      <c r="F510" s="26"/>
      <c r="G510" s="26"/>
      <c r="H510" s="26"/>
      <c r="I510" s="26"/>
      <c r="J510" s="26"/>
      <c r="K510" s="26"/>
      <c r="L510" s="26"/>
      <c r="M510" s="26"/>
      <c r="N510" s="26"/>
      <c r="O510" s="26"/>
      <c r="P510" s="26"/>
      <c r="Q510" s="26"/>
      <c r="R510" s="26"/>
      <c r="S510" s="26"/>
      <c r="T510" s="26"/>
      <c r="U510" s="26"/>
      <c r="V510" s="26"/>
      <c r="W510" s="26"/>
    </row>
    <row r="511" spans="1:23">
      <c r="A511" s="26"/>
      <c r="B511" s="26"/>
      <c r="C511" s="26"/>
      <c r="D511" s="26"/>
      <c r="E511" s="26"/>
      <c r="F511" s="26"/>
      <c r="G511" s="26"/>
      <c r="H511" s="26"/>
      <c r="I511" s="26"/>
      <c r="J511" s="26"/>
      <c r="K511" s="26"/>
      <c r="L511" s="26"/>
      <c r="M511" s="26"/>
      <c r="N511" s="26"/>
      <c r="O511" s="26"/>
      <c r="P511" s="26"/>
      <c r="Q511" s="26"/>
      <c r="R511" s="26"/>
      <c r="S511" s="26"/>
      <c r="T511" s="26"/>
      <c r="U511" s="26"/>
      <c r="V511" s="26"/>
      <c r="W511" s="26"/>
    </row>
    <row r="512" spans="1:23">
      <c r="A512" s="26"/>
      <c r="B512" s="26"/>
      <c r="C512" s="26"/>
      <c r="D512" s="26"/>
      <c r="E512" s="26"/>
      <c r="F512" s="26"/>
      <c r="G512" s="26"/>
      <c r="H512" s="26"/>
      <c r="I512" s="26"/>
      <c r="J512" s="26"/>
      <c r="K512" s="26"/>
      <c r="L512" s="26"/>
      <c r="M512" s="26"/>
      <c r="N512" s="26"/>
      <c r="O512" s="26"/>
      <c r="P512" s="26"/>
      <c r="Q512" s="26"/>
      <c r="R512" s="26"/>
      <c r="S512" s="26"/>
      <c r="T512" s="26"/>
      <c r="U512" s="26"/>
      <c r="V512" s="26"/>
      <c r="W512" s="26"/>
    </row>
    <row r="513" spans="1:23">
      <c r="A513" s="26"/>
      <c r="B513" s="26"/>
      <c r="C513" s="26"/>
      <c r="D513" s="26"/>
      <c r="E513" s="26"/>
      <c r="F513" s="26"/>
      <c r="G513" s="26"/>
      <c r="H513" s="26"/>
      <c r="I513" s="26"/>
      <c r="J513" s="26"/>
      <c r="K513" s="26"/>
      <c r="L513" s="26"/>
      <c r="M513" s="26"/>
      <c r="N513" s="26"/>
      <c r="O513" s="26"/>
      <c r="P513" s="26"/>
      <c r="Q513" s="26"/>
      <c r="R513" s="26"/>
      <c r="S513" s="26"/>
      <c r="T513" s="26"/>
      <c r="U513" s="26"/>
      <c r="V513" s="26"/>
      <c r="W513" s="26"/>
    </row>
    <row r="514" spans="1:23">
      <c r="A514" s="26"/>
      <c r="B514" s="26"/>
      <c r="C514" s="26"/>
      <c r="D514" s="26"/>
      <c r="E514" s="26"/>
      <c r="F514" s="26"/>
      <c r="G514" s="26"/>
      <c r="H514" s="26"/>
      <c r="I514" s="26"/>
      <c r="J514" s="26"/>
      <c r="K514" s="26"/>
      <c r="L514" s="26"/>
      <c r="M514" s="26"/>
      <c r="N514" s="26"/>
      <c r="O514" s="26"/>
      <c r="P514" s="26"/>
      <c r="Q514" s="26"/>
      <c r="R514" s="26"/>
      <c r="S514" s="26"/>
      <c r="T514" s="26"/>
      <c r="U514" s="26"/>
      <c r="V514" s="26"/>
      <c r="W514" s="26"/>
    </row>
    <row r="515" spans="1:23">
      <c r="A515" s="26"/>
      <c r="B515" s="26"/>
      <c r="C515" s="26"/>
      <c r="D515" s="26"/>
      <c r="E515" s="26"/>
      <c r="F515" s="26"/>
      <c r="G515" s="26"/>
      <c r="H515" s="26"/>
      <c r="I515" s="26"/>
      <c r="J515" s="26"/>
      <c r="K515" s="26"/>
      <c r="L515" s="26"/>
      <c r="M515" s="26"/>
      <c r="N515" s="26"/>
      <c r="O515" s="26"/>
      <c r="P515" s="26"/>
      <c r="Q515" s="26"/>
      <c r="R515" s="26"/>
      <c r="S515" s="26"/>
      <c r="T515" s="26"/>
      <c r="U515" s="26"/>
      <c r="V515" s="26"/>
      <c r="W515" s="26"/>
    </row>
    <row r="516" spans="1:23">
      <c r="A516" s="26"/>
      <c r="B516" s="26"/>
      <c r="C516" s="26"/>
      <c r="D516" s="26"/>
      <c r="E516" s="26"/>
      <c r="F516" s="26"/>
      <c r="G516" s="26"/>
      <c r="H516" s="26"/>
      <c r="I516" s="26"/>
      <c r="J516" s="26"/>
      <c r="K516" s="26"/>
      <c r="L516" s="26"/>
      <c r="M516" s="26"/>
      <c r="N516" s="26"/>
      <c r="O516" s="26"/>
      <c r="P516" s="26"/>
      <c r="Q516" s="26"/>
      <c r="R516" s="26"/>
      <c r="S516" s="26"/>
      <c r="T516" s="26"/>
      <c r="U516" s="26"/>
      <c r="V516" s="26"/>
      <c r="W516" s="26"/>
    </row>
    <row r="517" spans="1:23">
      <c r="A517" s="26"/>
      <c r="B517" s="26"/>
      <c r="C517" s="26"/>
      <c r="D517" s="26"/>
      <c r="E517" s="26"/>
      <c r="F517" s="26"/>
      <c r="G517" s="26"/>
      <c r="H517" s="26"/>
      <c r="I517" s="26"/>
      <c r="J517" s="26"/>
      <c r="K517" s="26"/>
      <c r="L517" s="26"/>
      <c r="M517" s="26"/>
      <c r="N517" s="26"/>
      <c r="O517" s="26"/>
      <c r="P517" s="26"/>
      <c r="Q517" s="26"/>
      <c r="R517" s="26"/>
      <c r="S517" s="26"/>
      <c r="T517" s="26"/>
      <c r="U517" s="26"/>
      <c r="V517" s="26"/>
      <c r="W517" s="26"/>
    </row>
    <row r="518" spans="1:23">
      <c r="A518" s="26"/>
      <c r="B518" s="26"/>
      <c r="C518" s="26"/>
      <c r="D518" s="26"/>
      <c r="E518" s="26"/>
      <c r="F518" s="26"/>
      <c r="G518" s="26"/>
      <c r="H518" s="26"/>
      <c r="I518" s="26"/>
      <c r="J518" s="26"/>
      <c r="K518" s="26"/>
      <c r="L518" s="26"/>
      <c r="M518" s="26"/>
      <c r="N518" s="26"/>
      <c r="O518" s="26"/>
      <c r="P518" s="26"/>
      <c r="Q518" s="26"/>
      <c r="R518" s="26"/>
      <c r="S518" s="26"/>
      <c r="T518" s="26"/>
      <c r="U518" s="26"/>
      <c r="V518" s="26"/>
      <c r="W518" s="26"/>
    </row>
    <row r="519" spans="1:23">
      <c r="A519" s="26"/>
      <c r="B519" s="26"/>
      <c r="C519" s="26"/>
      <c r="D519" s="26"/>
      <c r="E519" s="26"/>
      <c r="F519" s="26"/>
      <c r="G519" s="26"/>
      <c r="H519" s="26"/>
      <c r="I519" s="26"/>
      <c r="J519" s="26"/>
      <c r="K519" s="26"/>
      <c r="L519" s="26"/>
      <c r="M519" s="26"/>
      <c r="N519" s="26"/>
      <c r="O519" s="26"/>
      <c r="P519" s="26"/>
      <c r="Q519" s="26"/>
      <c r="R519" s="26"/>
      <c r="S519" s="26"/>
      <c r="T519" s="26"/>
      <c r="U519" s="26"/>
      <c r="V519" s="26"/>
      <c r="W519" s="26"/>
    </row>
    <row r="520" spans="1:23">
      <c r="A520" s="26"/>
      <c r="B520" s="26"/>
      <c r="C520" s="26"/>
      <c r="D520" s="26"/>
      <c r="E520" s="26"/>
      <c r="F520" s="26"/>
      <c r="G520" s="26"/>
      <c r="H520" s="26"/>
      <c r="I520" s="26"/>
      <c r="J520" s="26"/>
      <c r="K520" s="26"/>
      <c r="L520" s="26"/>
      <c r="M520" s="26"/>
      <c r="N520" s="26"/>
      <c r="O520" s="26"/>
      <c r="P520" s="26"/>
      <c r="Q520" s="26"/>
      <c r="R520" s="26"/>
      <c r="S520" s="26"/>
      <c r="T520" s="26"/>
      <c r="U520" s="26"/>
      <c r="V520" s="26"/>
      <c r="W520" s="26"/>
    </row>
    <row r="521" spans="1:23">
      <c r="A521" s="26"/>
      <c r="B521" s="26"/>
      <c r="C521" s="26"/>
      <c r="D521" s="26"/>
      <c r="E521" s="26"/>
      <c r="F521" s="26"/>
      <c r="G521" s="26"/>
      <c r="H521" s="26"/>
      <c r="I521" s="26"/>
      <c r="J521" s="26"/>
      <c r="K521" s="26"/>
      <c r="L521" s="26"/>
      <c r="M521" s="26"/>
      <c r="N521" s="26"/>
      <c r="O521" s="26"/>
      <c r="P521" s="26"/>
      <c r="Q521" s="26"/>
      <c r="R521" s="26"/>
      <c r="S521" s="26"/>
      <c r="T521" s="26"/>
      <c r="U521" s="26"/>
      <c r="V521" s="26"/>
      <c r="W521" s="26"/>
    </row>
    <row r="522" spans="1:23">
      <c r="A522" s="26"/>
      <c r="B522" s="26"/>
      <c r="C522" s="26"/>
      <c r="D522" s="26"/>
      <c r="E522" s="26"/>
      <c r="F522" s="26"/>
      <c r="G522" s="26"/>
      <c r="H522" s="26"/>
      <c r="I522" s="26"/>
      <c r="J522" s="26"/>
      <c r="K522" s="26"/>
      <c r="L522" s="26"/>
      <c r="M522" s="26"/>
      <c r="N522" s="26"/>
      <c r="O522" s="26"/>
      <c r="P522" s="26"/>
      <c r="Q522" s="26"/>
      <c r="R522" s="26"/>
      <c r="S522" s="26"/>
      <c r="T522" s="26"/>
      <c r="U522" s="26"/>
      <c r="V522" s="26"/>
      <c r="W522" s="26"/>
    </row>
    <row r="523" spans="1:23">
      <c r="A523" s="26"/>
      <c r="B523" s="26"/>
      <c r="C523" s="26"/>
      <c r="D523" s="26"/>
      <c r="E523" s="26"/>
      <c r="F523" s="26"/>
      <c r="G523" s="26"/>
      <c r="H523" s="26"/>
      <c r="I523" s="26"/>
      <c r="J523" s="26"/>
      <c r="K523" s="26"/>
      <c r="L523" s="26"/>
      <c r="M523" s="26"/>
      <c r="N523" s="26"/>
      <c r="O523" s="26"/>
      <c r="P523" s="26"/>
      <c r="Q523" s="26"/>
      <c r="R523" s="26"/>
      <c r="S523" s="26"/>
      <c r="T523" s="26"/>
      <c r="U523" s="26"/>
      <c r="V523" s="26"/>
      <c r="W523" s="26"/>
    </row>
    <row r="524" spans="1:23">
      <c r="A524" s="26"/>
      <c r="B524" s="26"/>
      <c r="C524" s="26"/>
      <c r="D524" s="26"/>
      <c r="E524" s="26"/>
      <c r="F524" s="26"/>
      <c r="G524" s="26"/>
      <c r="H524" s="26"/>
      <c r="I524" s="26"/>
      <c r="J524" s="26"/>
      <c r="K524" s="26"/>
      <c r="L524" s="26"/>
      <c r="M524" s="26"/>
      <c r="N524" s="26"/>
      <c r="O524" s="26"/>
      <c r="P524" s="26"/>
      <c r="Q524" s="26"/>
      <c r="R524" s="26"/>
      <c r="S524" s="26"/>
      <c r="T524" s="26"/>
      <c r="U524" s="26"/>
      <c r="V524" s="26"/>
      <c r="W524" s="26"/>
    </row>
    <row r="525" spans="1:23">
      <c r="A525" s="26"/>
      <c r="B525" s="26"/>
      <c r="C525" s="26"/>
      <c r="D525" s="26"/>
      <c r="E525" s="26"/>
      <c r="F525" s="26"/>
      <c r="G525" s="26"/>
      <c r="H525" s="26"/>
      <c r="I525" s="26"/>
      <c r="J525" s="26"/>
      <c r="K525" s="26"/>
      <c r="L525" s="26"/>
      <c r="M525" s="26"/>
      <c r="N525" s="26"/>
      <c r="O525" s="26"/>
      <c r="P525" s="26"/>
      <c r="Q525" s="26"/>
      <c r="R525" s="26"/>
      <c r="S525" s="26"/>
      <c r="T525" s="26"/>
      <c r="U525" s="26"/>
      <c r="V525" s="26"/>
      <c r="W525" s="26"/>
    </row>
    <row r="526" spans="1:23">
      <c r="A526" s="26"/>
      <c r="B526" s="26"/>
      <c r="C526" s="26"/>
      <c r="D526" s="26"/>
      <c r="E526" s="26"/>
      <c r="F526" s="26"/>
      <c r="G526" s="26"/>
      <c r="H526" s="26"/>
      <c r="I526" s="26"/>
      <c r="J526" s="26"/>
      <c r="K526" s="26"/>
      <c r="L526" s="26"/>
      <c r="M526" s="26"/>
      <c r="N526" s="26"/>
      <c r="O526" s="26"/>
      <c r="P526" s="26"/>
      <c r="Q526" s="26"/>
      <c r="R526" s="26"/>
      <c r="S526" s="26"/>
      <c r="T526" s="26"/>
      <c r="U526" s="26"/>
      <c r="V526" s="26"/>
      <c r="W526" s="26"/>
    </row>
    <row r="527" spans="1:23">
      <c r="A527" s="26"/>
      <c r="B527" s="26"/>
      <c r="C527" s="26"/>
      <c r="D527" s="26"/>
      <c r="E527" s="26"/>
      <c r="F527" s="26"/>
      <c r="G527" s="26"/>
      <c r="H527" s="26"/>
      <c r="I527" s="26"/>
      <c r="J527" s="26"/>
      <c r="K527" s="26"/>
      <c r="L527" s="26"/>
      <c r="M527" s="26"/>
      <c r="N527" s="26"/>
      <c r="O527" s="26"/>
      <c r="P527" s="26"/>
      <c r="Q527" s="26"/>
      <c r="R527" s="26"/>
      <c r="S527" s="26"/>
      <c r="T527" s="26"/>
      <c r="U527" s="26"/>
      <c r="V527" s="26"/>
      <c r="W527" s="26"/>
    </row>
    <row r="528" spans="1:23">
      <c r="A528" s="26"/>
      <c r="B528" s="26"/>
      <c r="C528" s="26"/>
      <c r="D528" s="26"/>
      <c r="E528" s="26"/>
      <c r="F528" s="26"/>
      <c r="G528" s="26"/>
      <c r="H528" s="26"/>
      <c r="I528" s="26"/>
      <c r="J528" s="26"/>
      <c r="K528" s="26"/>
      <c r="L528" s="26"/>
      <c r="M528" s="26"/>
      <c r="N528" s="26"/>
      <c r="O528" s="26"/>
      <c r="P528" s="26"/>
      <c r="Q528" s="26"/>
      <c r="R528" s="26"/>
      <c r="S528" s="26"/>
      <c r="T528" s="26"/>
      <c r="U528" s="26"/>
      <c r="V528" s="26"/>
      <c r="W528" s="26"/>
    </row>
    <row r="529" spans="1:23">
      <c r="A529" s="26"/>
      <c r="B529" s="26"/>
      <c r="C529" s="26"/>
      <c r="D529" s="26"/>
      <c r="E529" s="26"/>
      <c r="F529" s="26"/>
      <c r="G529" s="26"/>
      <c r="H529" s="26"/>
      <c r="I529" s="26"/>
      <c r="J529" s="26"/>
      <c r="K529" s="26"/>
      <c r="L529" s="26"/>
      <c r="M529" s="26"/>
      <c r="N529" s="26"/>
      <c r="O529" s="26"/>
      <c r="P529" s="26"/>
      <c r="Q529" s="26"/>
      <c r="R529" s="26"/>
      <c r="S529" s="26"/>
      <c r="T529" s="26"/>
      <c r="U529" s="26"/>
      <c r="V529" s="26"/>
      <c r="W529" s="26"/>
    </row>
    <row r="530" spans="1:23">
      <c r="A530" s="26"/>
      <c r="B530" s="26"/>
      <c r="C530" s="26"/>
      <c r="D530" s="26"/>
      <c r="E530" s="26"/>
      <c r="F530" s="26"/>
      <c r="G530" s="26"/>
      <c r="H530" s="26"/>
      <c r="I530" s="26"/>
      <c r="J530" s="26"/>
      <c r="K530" s="26"/>
      <c r="L530" s="26"/>
      <c r="M530" s="26"/>
      <c r="N530" s="26"/>
      <c r="O530" s="26"/>
      <c r="P530" s="26"/>
      <c r="Q530" s="26"/>
      <c r="R530" s="26"/>
      <c r="S530" s="26"/>
      <c r="T530" s="26"/>
      <c r="U530" s="26"/>
      <c r="V530" s="26"/>
      <c r="W530" s="26"/>
    </row>
    <row r="531" spans="1:23">
      <c r="A531" s="26"/>
      <c r="B531" s="26"/>
      <c r="C531" s="26"/>
      <c r="D531" s="26"/>
      <c r="E531" s="26"/>
      <c r="F531" s="26"/>
      <c r="G531" s="26"/>
      <c r="H531" s="26"/>
      <c r="I531" s="26"/>
      <c r="J531" s="26"/>
      <c r="K531" s="26"/>
      <c r="L531" s="26"/>
      <c r="M531" s="26"/>
      <c r="N531" s="26"/>
      <c r="O531" s="26"/>
      <c r="P531" s="26"/>
      <c r="Q531" s="26"/>
      <c r="R531" s="26"/>
      <c r="S531" s="26"/>
      <c r="T531" s="26"/>
      <c r="U531" s="26"/>
      <c r="V531" s="26"/>
      <c r="W531" s="26"/>
    </row>
    <row r="532" spans="1:23">
      <c r="A532" s="26"/>
      <c r="B532" s="26"/>
      <c r="C532" s="26"/>
      <c r="D532" s="26"/>
      <c r="E532" s="26"/>
      <c r="F532" s="26"/>
      <c r="G532" s="26"/>
      <c r="H532" s="26"/>
      <c r="I532" s="26"/>
      <c r="J532" s="26"/>
      <c r="K532" s="26"/>
      <c r="L532" s="26"/>
      <c r="M532" s="26"/>
      <c r="N532" s="26"/>
      <c r="O532" s="26"/>
      <c r="P532" s="26"/>
      <c r="Q532" s="26"/>
      <c r="R532" s="26"/>
      <c r="S532" s="26"/>
      <c r="T532" s="26"/>
      <c r="U532" s="26"/>
      <c r="V532" s="26"/>
      <c r="W532" s="26"/>
    </row>
    <row r="533" spans="1:23">
      <c r="A533" s="26"/>
      <c r="B533" s="26"/>
      <c r="C533" s="26"/>
      <c r="D533" s="26"/>
      <c r="E533" s="26"/>
      <c r="F533" s="26"/>
      <c r="G533" s="26"/>
      <c r="H533" s="26"/>
      <c r="I533" s="26"/>
      <c r="J533" s="26"/>
      <c r="K533" s="26"/>
      <c r="L533" s="26"/>
      <c r="M533" s="26"/>
      <c r="N533" s="26"/>
      <c r="O533" s="26"/>
      <c r="P533" s="26"/>
      <c r="Q533" s="26"/>
      <c r="R533" s="26"/>
      <c r="S533" s="26"/>
      <c r="T533" s="26"/>
      <c r="U533" s="26"/>
      <c r="V533" s="26"/>
      <c r="W533" s="26"/>
    </row>
    <row r="534" spans="1:23">
      <c r="A534" s="26"/>
      <c r="B534" s="26"/>
      <c r="C534" s="26"/>
      <c r="D534" s="26"/>
      <c r="E534" s="26"/>
      <c r="F534" s="26"/>
      <c r="G534" s="26"/>
      <c r="H534" s="26"/>
      <c r="I534" s="26"/>
      <c r="J534" s="26"/>
      <c r="K534" s="26"/>
      <c r="L534" s="26"/>
      <c r="M534" s="26"/>
      <c r="N534" s="26"/>
      <c r="O534" s="26"/>
      <c r="P534" s="26"/>
      <c r="Q534" s="26"/>
      <c r="R534" s="26"/>
      <c r="S534" s="26"/>
      <c r="T534" s="26"/>
      <c r="U534" s="26"/>
      <c r="V534" s="26"/>
      <c r="W534" s="26"/>
    </row>
    <row r="535" spans="1:23">
      <c r="A535" s="26"/>
      <c r="B535" s="26"/>
      <c r="C535" s="26"/>
      <c r="D535" s="26"/>
      <c r="E535" s="26"/>
      <c r="F535" s="26"/>
      <c r="G535" s="26"/>
      <c r="H535" s="26"/>
      <c r="I535" s="26"/>
      <c r="J535" s="26"/>
      <c r="K535" s="26"/>
      <c r="L535" s="26"/>
      <c r="M535" s="26"/>
      <c r="N535" s="26"/>
      <c r="O535" s="26"/>
      <c r="P535" s="26"/>
      <c r="Q535" s="26"/>
      <c r="R535" s="26"/>
      <c r="S535" s="26"/>
      <c r="T535" s="26"/>
      <c r="U535" s="26"/>
      <c r="V535" s="26"/>
      <c r="W535" s="26"/>
    </row>
    <row r="536" spans="1:23">
      <c r="A536" s="26"/>
      <c r="B536" s="26"/>
      <c r="C536" s="26"/>
      <c r="D536" s="26"/>
      <c r="E536" s="26"/>
      <c r="F536" s="26"/>
      <c r="G536" s="26"/>
      <c r="H536" s="26"/>
      <c r="I536" s="26"/>
      <c r="J536" s="26"/>
      <c r="K536" s="26"/>
      <c r="L536" s="26"/>
      <c r="M536" s="26"/>
      <c r="N536" s="26"/>
      <c r="O536" s="26"/>
      <c r="P536" s="26"/>
      <c r="Q536" s="26"/>
      <c r="R536" s="26"/>
      <c r="S536" s="26"/>
      <c r="T536" s="26"/>
      <c r="U536" s="26"/>
      <c r="V536" s="26"/>
      <c r="W536" s="26"/>
    </row>
    <row r="537" spans="1:23">
      <c r="A537" s="26"/>
      <c r="B537" s="26"/>
      <c r="C537" s="26"/>
      <c r="D537" s="26"/>
      <c r="E537" s="26"/>
      <c r="F537" s="26"/>
      <c r="G537" s="26"/>
      <c r="H537" s="26"/>
      <c r="I537" s="26"/>
      <c r="J537" s="26"/>
      <c r="K537" s="26"/>
      <c r="L537" s="26"/>
      <c r="M537" s="26"/>
      <c r="N537" s="26"/>
      <c r="O537" s="26"/>
      <c r="P537" s="26"/>
      <c r="Q537" s="26"/>
      <c r="R537" s="26"/>
      <c r="S537" s="26"/>
      <c r="T537" s="26"/>
      <c r="U537" s="26"/>
      <c r="V537" s="26"/>
      <c r="W537" s="26"/>
    </row>
    <row r="538" spans="1:23">
      <c r="A538" s="26"/>
      <c r="B538" s="26"/>
      <c r="C538" s="26"/>
      <c r="D538" s="26"/>
      <c r="E538" s="26"/>
      <c r="F538" s="26"/>
      <c r="G538" s="26"/>
      <c r="H538" s="26"/>
      <c r="I538" s="26"/>
      <c r="J538" s="26"/>
      <c r="K538" s="26"/>
      <c r="L538" s="26"/>
      <c r="M538" s="26"/>
      <c r="N538" s="26"/>
      <c r="O538" s="26"/>
      <c r="P538" s="26"/>
      <c r="Q538" s="26"/>
      <c r="R538" s="26"/>
      <c r="S538" s="26"/>
      <c r="T538" s="26"/>
      <c r="U538" s="26"/>
      <c r="V538" s="26"/>
      <c r="W538" s="26"/>
    </row>
    <row r="539" spans="1:23">
      <c r="A539" s="26"/>
      <c r="B539" s="26"/>
      <c r="C539" s="26"/>
      <c r="D539" s="26"/>
      <c r="E539" s="26"/>
      <c r="F539" s="26"/>
      <c r="G539" s="26"/>
      <c r="H539" s="26"/>
      <c r="I539" s="26"/>
      <c r="J539" s="26"/>
      <c r="K539" s="26"/>
      <c r="L539" s="26"/>
      <c r="M539" s="26"/>
      <c r="N539" s="26"/>
      <c r="O539" s="26"/>
      <c r="P539" s="26"/>
      <c r="Q539" s="26"/>
      <c r="R539" s="26"/>
      <c r="S539" s="26"/>
      <c r="T539" s="26"/>
      <c r="U539" s="26"/>
      <c r="V539" s="26"/>
      <c r="W539" s="26"/>
    </row>
    <row r="540" spans="1:23">
      <c r="A540" s="26"/>
      <c r="B540" s="26"/>
      <c r="C540" s="26"/>
      <c r="D540" s="26"/>
      <c r="E540" s="26"/>
      <c r="F540" s="26"/>
      <c r="G540" s="26"/>
      <c r="H540" s="26"/>
      <c r="I540" s="26"/>
      <c r="J540" s="26"/>
      <c r="K540" s="26"/>
      <c r="L540" s="26"/>
      <c r="M540" s="26"/>
      <c r="N540" s="26"/>
      <c r="O540" s="26"/>
      <c r="P540" s="26"/>
      <c r="Q540" s="26"/>
      <c r="R540" s="26"/>
      <c r="S540" s="26"/>
      <c r="T540" s="26"/>
      <c r="U540" s="26"/>
      <c r="V540" s="26"/>
      <c r="W540" s="26"/>
    </row>
    <row r="541" spans="1:23">
      <c r="A541" s="26"/>
      <c r="B541" s="26"/>
      <c r="C541" s="26"/>
      <c r="D541" s="26"/>
      <c r="E541" s="26"/>
      <c r="F541" s="26"/>
      <c r="G541" s="26"/>
      <c r="H541" s="26"/>
      <c r="I541" s="26"/>
      <c r="J541" s="26"/>
      <c r="K541" s="26"/>
      <c r="L541" s="26"/>
      <c r="M541" s="26"/>
      <c r="N541" s="26"/>
      <c r="O541" s="26"/>
      <c r="P541" s="26"/>
      <c r="Q541" s="26"/>
      <c r="R541" s="26"/>
      <c r="S541" s="26"/>
      <c r="T541" s="26"/>
      <c r="U541" s="26"/>
      <c r="V541" s="26"/>
      <c r="W541" s="26"/>
    </row>
    <row r="542" spans="1:23">
      <c r="A542" s="26"/>
      <c r="B542" s="26"/>
      <c r="C542" s="26"/>
      <c r="D542" s="26"/>
      <c r="E542" s="26"/>
      <c r="F542" s="26"/>
      <c r="G542" s="26"/>
      <c r="H542" s="26"/>
      <c r="I542" s="26"/>
      <c r="J542" s="26"/>
      <c r="K542" s="26"/>
      <c r="L542" s="26"/>
      <c r="M542" s="26"/>
      <c r="N542" s="26"/>
      <c r="O542" s="26"/>
      <c r="P542" s="26"/>
      <c r="Q542" s="26"/>
      <c r="R542" s="26"/>
      <c r="S542" s="26"/>
      <c r="T542" s="26"/>
      <c r="U542" s="26"/>
      <c r="V542" s="26"/>
      <c r="W542" s="26"/>
    </row>
    <row r="543" spans="1:23">
      <c r="A543" s="26"/>
      <c r="B543" s="26"/>
      <c r="C543" s="26"/>
      <c r="D543" s="26"/>
      <c r="E543" s="26"/>
      <c r="F543" s="26"/>
      <c r="G543" s="26"/>
      <c r="H543" s="26"/>
      <c r="I543" s="26"/>
      <c r="J543" s="26"/>
      <c r="K543" s="26"/>
      <c r="L543" s="26"/>
      <c r="M543" s="26"/>
      <c r="N543" s="26"/>
      <c r="O543" s="26"/>
      <c r="P543" s="26"/>
      <c r="Q543" s="26"/>
      <c r="R543" s="26"/>
      <c r="S543" s="26"/>
      <c r="T543" s="26"/>
      <c r="U543" s="26"/>
      <c r="V543" s="26"/>
      <c r="W543" s="26"/>
    </row>
    <row r="544" spans="1:23">
      <c r="A544" s="26"/>
      <c r="B544" s="26"/>
      <c r="C544" s="26"/>
      <c r="D544" s="26"/>
      <c r="E544" s="26"/>
      <c r="F544" s="26"/>
      <c r="G544" s="26"/>
      <c r="H544" s="26"/>
      <c r="I544" s="26"/>
      <c r="J544" s="26"/>
      <c r="K544" s="26"/>
      <c r="L544" s="26"/>
      <c r="M544" s="26"/>
      <c r="N544" s="26"/>
      <c r="O544" s="26"/>
      <c r="P544" s="26"/>
      <c r="Q544" s="26"/>
      <c r="R544" s="26"/>
      <c r="S544" s="26"/>
      <c r="T544" s="26"/>
      <c r="U544" s="26"/>
      <c r="V544" s="26"/>
      <c r="W544" s="26"/>
    </row>
    <row r="545" spans="1:23">
      <c r="A545" s="26"/>
      <c r="B545" s="26"/>
      <c r="C545" s="26"/>
      <c r="D545" s="26"/>
      <c r="E545" s="26"/>
      <c r="F545" s="26"/>
      <c r="G545" s="26"/>
      <c r="H545" s="26"/>
      <c r="I545" s="26"/>
      <c r="J545" s="26"/>
      <c r="K545" s="26"/>
      <c r="L545" s="26"/>
      <c r="M545" s="26"/>
      <c r="N545" s="26"/>
      <c r="O545" s="26"/>
      <c r="P545" s="26"/>
      <c r="Q545" s="26"/>
      <c r="R545" s="26"/>
      <c r="S545" s="26"/>
      <c r="T545" s="26"/>
      <c r="U545" s="26"/>
      <c r="V545" s="26"/>
      <c r="W545" s="26"/>
    </row>
    <row r="546" spans="1:23">
      <c r="A546" s="26"/>
      <c r="B546" s="26"/>
      <c r="C546" s="26"/>
      <c r="D546" s="26"/>
      <c r="E546" s="26"/>
      <c r="F546" s="26"/>
      <c r="G546" s="26"/>
      <c r="H546" s="26"/>
      <c r="I546" s="26"/>
      <c r="J546" s="26"/>
      <c r="K546" s="26"/>
      <c r="L546" s="26"/>
      <c r="M546" s="26"/>
      <c r="N546" s="26"/>
      <c r="O546" s="26"/>
      <c r="P546" s="26"/>
      <c r="Q546" s="26"/>
      <c r="R546" s="26"/>
      <c r="S546" s="26"/>
      <c r="T546" s="26"/>
      <c r="U546" s="26"/>
      <c r="V546" s="26"/>
      <c r="W546" s="26"/>
    </row>
    <row r="547" spans="1:23">
      <c r="A547" s="26"/>
      <c r="B547" s="26"/>
      <c r="C547" s="26"/>
      <c r="D547" s="26"/>
      <c r="E547" s="26"/>
      <c r="F547" s="26"/>
      <c r="G547" s="26"/>
      <c r="H547" s="26"/>
      <c r="I547" s="26"/>
      <c r="J547" s="26"/>
      <c r="K547" s="26"/>
      <c r="L547" s="26"/>
      <c r="M547" s="26"/>
      <c r="N547" s="26"/>
      <c r="O547" s="26"/>
      <c r="P547" s="26"/>
      <c r="Q547" s="26"/>
      <c r="R547" s="26"/>
      <c r="S547" s="26"/>
      <c r="T547" s="26"/>
      <c r="U547" s="26"/>
      <c r="V547" s="26"/>
      <c r="W547" s="26"/>
    </row>
    <row r="548" spans="1:23">
      <c r="A548" s="26"/>
      <c r="B548" s="26"/>
      <c r="C548" s="26"/>
      <c r="D548" s="26"/>
      <c r="E548" s="26"/>
      <c r="F548" s="26"/>
      <c r="G548" s="26"/>
      <c r="H548" s="26"/>
      <c r="I548" s="26"/>
      <c r="J548" s="26"/>
      <c r="K548" s="26"/>
      <c r="L548" s="26"/>
      <c r="M548" s="26"/>
      <c r="N548" s="26"/>
      <c r="O548" s="26"/>
      <c r="P548" s="26"/>
      <c r="Q548" s="26"/>
      <c r="R548" s="26"/>
      <c r="S548" s="26"/>
      <c r="T548" s="26"/>
      <c r="U548" s="26"/>
      <c r="V548" s="26"/>
      <c r="W548" s="26"/>
    </row>
    <row r="549" spans="1:23">
      <c r="A549" s="26"/>
      <c r="B549" s="26"/>
      <c r="C549" s="26"/>
      <c r="D549" s="26"/>
      <c r="E549" s="26"/>
      <c r="F549" s="26"/>
      <c r="G549" s="26"/>
      <c r="H549" s="26"/>
      <c r="I549" s="26"/>
      <c r="J549" s="26"/>
      <c r="K549" s="26"/>
      <c r="L549" s="26"/>
      <c r="M549" s="26"/>
      <c r="N549" s="26"/>
      <c r="O549" s="26"/>
      <c r="P549" s="26"/>
      <c r="Q549" s="26"/>
      <c r="R549" s="26"/>
      <c r="S549" s="26"/>
      <c r="T549" s="26"/>
      <c r="U549" s="26"/>
      <c r="V549" s="26"/>
      <c r="W549" s="26"/>
    </row>
    <row r="550" spans="1:23">
      <c r="A550" s="26"/>
      <c r="B550" s="26"/>
      <c r="C550" s="26"/>
      <c r="D550" s="26"/>
      <c r="E550" s="26"/>
      <c r="F550" s="26"/>
      <c r="G550" s="26"/>
      <c r="H550" s="26"/>
      <c r="I550" s="26"/>
      <c r="J550" s="26"/>
      <c r="K550" s="26"/>
      <c r="L550" s="26"/>
      <c r="M550" s="26"/>
      <c r="N550" s="26"/>
      <c r="O550" s="26"/>
      <c r="P550" s="26"/>
      <c r="Q550" s="26"/>
      <c r="R550" s="26"/>
      <c r="S550" s="26"/>
      <c r="T550" s="26"/>
      <c r="U550" s="26"/>
      <c r="V550" s="26"/>
      <c r="W550" s="26"/>
    </row>
    <row r="551" spans="1:23">
      <c r="A551" s="26"/>
      <c r="B551" s="26"/>
      <c r="C551" s="26"/>
      <c r="D551" s="26"/>
      <c r="E551" s="26"/>
      <c r="F551" s="26"/>
      <c r="G551" s="26"/>
      <c r="H551" s="26"/>
      <c r="I551" s="26"/>
      <c r="J551" s="26"/>
      <c r="K551" s="26"/>
      <c r="L551" s="26"/>
      <c r="M551" s="26"/>
      <c r="N551" s="26"/>
      <c r="O551" s="26"/>
      <c r="P551" s="26"/>
      <c r="Q551" s="26"/>
      <c r="R551" s="26"/>
      <c r="S551" s="26"/>
      <c r="T551" s="26"/>
      <c r="U551" s="26"/>
      <c r="V551" s="26"/>
      <c r="W551" s="26"/>
    </row>
    <row r="552" spans="1:23">
      <c r="A552" s="26"/>
      <c r="B552" s="26"/>
      <c r="C552" s="26"/>
      <c r="D552" s="26"/>
      <c r="E552" s="26"/>
      <c r="F552" s="26"/>
      <c r="G552" s="26"/>
      <c r="H552" s="26"/>
      <c r="I552" s="26"/>
      <c r="J552" s="26"/>
      <c r="K552" s="26"/>
      <c r="L552" s="26"/>
      <c r="M552" s="26"/>
      <c r="N552" s="26"/>
      <c r="O552" s="26"/>
      <c r="P552" s="26"/>
      <c r="Q552" s="26"/>
      <c r="R552" s="26"/>
      <c r="S552" s="26"/>
      <c r="T552" s="26"/>
      <c r="U552" s="26"/>
      <c r="V552" s="26"/>
      <c r="W552" s="26"/>
    </row>
    <row r="553" spans="1:23">
      <c r="A553" s="26"/>
      <c r="B553" s="26"/>
      <c r="C553" s="26"/>
      <c r="D553" s="26"/>
      <c r="E553" s="26"/>
      <c r="F553" s="26"/>
      <c r="G553" s="26"/>
      <c r="H553" s="26"/>
      <c r="I553" s="26"/>
      <c r="J553" s="26"/>
      <c r="K553" s="26"/>
      <c r="L553" s="26"/>
      <c r="M553" s="26"/>
      <c r="N553" s="26"/>
      <c r="O553" s="26"/>
      <c r="P553" s="26"/>
      <c r="Q553" s="26"/>
      <c r="R553" s="26"/>
      <c r="S553" s="26"/>
      <c r="T553" s="26"/>
      <c r="U553" s="26"/>
      <c r="V553" s="26"/>
      <c r="W553" s="26"/>
    </row>
    <row r="554" spans="1:23">
      <c r="A554" s="26"/>
      <c r="B554" s="26"/>
      <c r="C554" s="26"/>
      <c r="D554" s="26"/>
      <c r="E554" s="26"/>
      <c r="F554" s="26"/>
      <c r="G554" s="26"/>
      <c r="H554" s="26"/>
      <c r="I554" s="26"/>
      <c r="J554" s="26"/>
      <c r="K554" s="26"/>
      <c r="L554" s="26"/>
      <c r="M554" s="26"/>
      <c r="N554" s="26"/>
      <c r="O554" s="26"/>
      <c r="P554" s="26"/>
      <c r="Q554" s="26"/>
      <c r="R554" s="26"/>
      <c r="S554" s="26"/>
      <c r="T554" s="26"/>
      <c r="U554" s="26"/>
      <c r="V554" s="26"/>
      <c r="W554" s="26"/>
    </row>
    <row r="555" spans="1:23">
      <c r="A555" s="26"/>
      <c r="B555" s="26"/>
      <c r="C555" s="26"/>
      <c r="D555" s="26"/>
      <c r="E555" s="26"/>
      <c r="F555" s="26"/>
      <c r="G555" s="26"/>
      <c r="H555" s="26"/>
      <c r="I555" s="26"/>
      <c r="J555" s="26"/>
      <c r="K555" s="26"/>
      <c r="L555" s="26"/>
      <c r="M555" s="26"/>
      <c r="N555" s="26"/>
      <c r="O555" s="26"/>
      <c r="P555" s="26"/>
      <c r="Q555" s="26"/>
      <c r="R555" s="26"/>
      <c r="S555" s="26"/>
      <c r="T555" s="26"/>
      <c r="U555" s="26"/>
      <c r="V555" s="26"/>
      <c r="W555" s="26"/>
    </row>
    <row r="556" spans="1:23">
      <c r="A556" s="26"/>
      <c r="B556" s="26"/>
      <c r="C556" s="26"/>
      <c r="D556" s="26"/>
      <c r="E556" s="26"/>
      <c r="F556" s="26"/>
      <c r="G556" s="26"/>
      <c r="H556" s="26"/>
      <c r="I556" s="26"/>
      <c r="J556" s="26"/>
      <c r="K556" s="26"/>
      <c r="L556" s="26"/>
      <c r="M556" s="26"/>
      <c r="N556" s="26"/>
      <c r="O556" s="26"/>
      <c r="P556" s="26"/>
      <c r="Q556" s="26"/>
      <c r="R556" s="26"/>
      <c r="S556" s="26"/>
      <c r="T556" s="26"/>
      <c r="U556" s="26"/>
      <c r="V556" s="26"/>
      <c r="W556" s="26"/>
    </row>
    <row r="557" spans="1:23">
      <c r="A557" s="26"/>
      <c r="B557" s="26"/>
      <c r="C557" s="26"/>
      <c r="D557" s="26"/>
      <c r="E557" s="26"/>
      <c r="F557" s="26"/>
      <c r="G557" s="26"/>
      <c r="H557" s="26"/>
      <c r="I557" s="26"/>
      <c r="J557" s="26"/>
      <c r="K557" s="26"/>
      <c r="L557" s="26"/>
      <c r="M557" s="26"/>
      <c r="N557" s="26"/>
      <c r="O557" s="26"/>
      <c r="P557" s="26"/>
      <c r="Q557" s="26"/>
      <c r="R557" s="26"/>
      <c r="S557" s="26"/>
      <c r="T557" s="26"/>
      <c r="U557" s="26"/>
      <c r="V557" s="26"/>
      <c r="W557" s="26"/>
    </row>
    <row r="558" spans="1:23">
      <c r="A558" s="26"/>
      <c r="B558" s="26"/>
      <c r="C558" s="26"/>
      <c r="D558" s="26"/>
      <c r="E558" s="26"/>
      <c r="F558" s="26"/>
      <c r="G558" s="26"/>
      <c r="H558" s="26"/>
      <c r="I558" s="26"/>
      <c r="J558" s="26"/>
      <c r="K558" s="26"/>
      <c r="L558" s="26"/>
      <c r="M558" s="26"/>
      <c r="N558" s="26"/>
      <c r="O558" s="26"/>
      <c r="P558" s="26"/>
      <c r="Q558" s="26"/>
      <c r="R558" s="26"/>
      <c r="S558" s="26"/>
      <c r="T558" s="26"/>
      <c r="U558" s="26"/>
      <c r="V558" s="26"/>
      <c r="W558" s="26"/>
    </row>
    <row r="559" spans="1:23">
      <c r="A559" s="26"/>
      <c r="B559" s="26"/>
      <c r="C559" s="26"/>
      <c r="D559" s="26"/>
      <c r="E559" s="26"/>
      <c r="F559" s="26"/>
      <c r="G559" s="26"/>
      <c r="H559" s="26"/>
      <c r="I559" s="26"/>
      <c r="J559" s="26"/>
      <c r="K559" s="26"/>
      <c r="L559" s="26"/>
      <c r="M559" s="26"/>
      <c r="N559" s="26"/>
      <c r="O559" s="26"/>
      <c r="P559" s="26"/>
      <c r="Q559" s="26"/>
      <c r="R559" s="26"/>
      <c r="S559" s="26"/>
      <c r="T559" s="26"/>
      <c r="U559" s="26"/>
      <c r="V559" s="26"/>
      <c r="W559" s="26"/>
    </row>
    <row r="560" spans="1:23">
      <c r="A560" s="26"/>
      <c r="B560" s="26"/>
      <c r="C560" s="26"/>
      <c r="D560" s="26"/>
      <c r="E560" s="26"/>
      <c r="F560" s="26"/>
      <c r="G560" s="26"/>
      <c r="H560" s="26"/>
      <c r="I560" s="26"/>
      <c r="J560" s="26"/>
      <c r="K560" s="26"/>
      <c r="L560" s="26"/>
      <c r="M560" s="26"/>
      <c r="N560" s="26"/>
      <c r="O560" s="26"/>
      <c r="P560" s="26"/>
      <c r="Q560" s="26"/>
      <c r="R560" s="26"/>
      <c r="S560" s="26"/>
      <c r="T560" s="26"/>
      <c r="U560" s="26"/>
      <c r="V560" s="26"/>
      <c r="W560" s="26"/>
    </row>
    <row r="561" spans="1:23">
      <c r="A561" s="26"/>
      <c r="B561" s="26"/>
      <c r="C561" s="26"/>
      <c r="D561" s="26"/>
      <c r="E561" s="26"/>
      <c r="F561" s="26"/>
      <c r="G561" s="26"/>
      <c r="H561" s="26"/>
      <c r="I561" s="26"/>
      <c r="J561" s="26"/>
      <c r="K561" s="26"/>
      <c r="L561" s="26"/>
      <c r="M561" s="26"/>
      <c r="N561" s="26"/>
      <c r="O561" s="26"/>
      <c r="P561" s="26"/>
      <c r="Q561" s="26"/>
      <c r="R561" s="26"/>
      <c r="S561" s="26"/>
      <c r="T561" s="26"/>
      <c r="U561" s="26"/>
      <c r="V561" s="26"/>
      <c r="W561" s="26"/>
    </row>
    <row r="562" spans="1:23">
      <c r="A562" s="26"/>
      <c r="B562" s="26"/>
      <c r="C562" s="26"/>
      <c r="D562" s="26"/>
      <c r="E562" s="26"/>
      <c r="F562" s="26"/>
      <c r="G562" s="26"/>
      <c r="H562" s="26"/>
      <c r="I562" s="26"/>
      <c r="J562" s="26"/>
      <c r="K562" s="26"/>
      <c r="L562" s="26"/>
      <c r="M562" s="26"/>
      <c r="N562" s="26"/>
      <c r="O562" s="26"/>
      <c r="P562" s="26"/>
      <c r="Q562" s="26"/>
      <c r="R562" s="26"/>
      <c r="S562" s="26"/>
      <c r="T562" s="26"/>
      <c r="U562" s="26"/>
      <c r="V562" s="26"/>
      <c r="W562" s="26"/>
    </row>
    <row r="563" spans="1:23">
      <c r="A563" s="26"/>
      <c r="B563" s="26"/>
      <c r="C563" s="26"/>
      <c r="D563" s="26"/>
      <c r="E563" s="26"/>
      <c r="F563" s="26"/>
      <c r="G563" s="26"/>
      <c r="H563" s="26"/>
      <c r="I563" s="26"/>
      <c r="J563" s="26"/>
      <c r="K563" s="26"/>
      <c r="L563" s="26"/>
      <c r="M563" s="26"/>
      <c r="N563" s="26"/>
      <c r="O563" s="26"/>
      <c r="P563" s="26"/>
      <c r="Q563" s="26"/>
      <c r="R563" s="26"/>
      <c r="S563" s="26"/>
      <c r="T563" s="26"/>
      <c r="U563" s="26"/>
      <c r="V563" s="26"/>
      <c r="W563" s="26"/>
    </row>
    <row r="564" spans="1:23">
      <c r="A564" s="26"/>
      <c r="B564" s="26"/>
      <c r="C564" s="26"/>
      <c r="D564" s="26"/>
      <c r="E564" s="26"/>
      <c r="F564" s="26"/>
      <c r="G564" s="26"/>
      <c r="H564" s="26"/>
      <c r="I564" s="26"/>
      <c r="J564" s="26"/>
      <c r="K564" s="26"/>
      <c r="L564" s="26"/>
      <c r="M564" s="26"/>
      <c r="N564" s="26"/>
      <c r="O564" s="26"/>
      <c r="P564" s="26"/>
      <c r="Q564" s="26"/>
      <c r="R564" s="26"/>
      <c r="S564" s="26"/>
      <c r="T564" s="26"/>
      <c r="U564" s="26"/>
      <c r="V564" s="26"/>
      <c r="W564" s="26"/>
    </row>
    <row r="565" spans="1:23">
      <c r="A565" s="26"/>
      <c r="B565" s="26"/>
      <c r="C565" s="26"/>
      <c r="D565" s="26"/>
      <c r="E565" s="26"/>
      <c r="F565" s="26"/>
      <c r="G565" s="26"/>
      <c r="H565" s="26"/>
      <c r="I565" s="26"/>
      <c r="J565" s="26"/>
      <c r="K565" s="26"/>
      <c r="L565" s="26"/>
      <c r="M565" s="26"/>
      <c r="N565" s="26"/>
      <c r="O565" s="26"/>
      <c r="P565" s="26"/>
      <c r="Q565" s="26"/>
      <c r="R565" s="26"/>
      <c r="S565" s="26"/>
      <c r="T565" s="26"/>
      <c r="U565" s="26"/>
      <c r="V565" s="26"/>
      <c r="W565" s="26"/>
    </row>
    <row r="566" spans="1:23">
      <c r="A566" s="26"/>
      <c r="B566" s="26"/>
      <c r="C566" s="26"/>
      <c r="D566" s="26"/>
      <c r="E566" s="26"/>
      <c r="F566" s="26"/>
      <c r="G566" s="26"/>
      <c r="H566" s="26"/>
      <c r="I566" s="26"/>
      <c r="J566" s="26"/>
      <c r="K566" s="26"/>
      <c r="L566" s="26"/>
      <c r="M566" s="26"/>
      <c r="N566" s="26"/>
      <c r="O566" s="26"/>
      <c r="P566" s="26"/>
      <c r="Q566" s="26"/>
      <c r="R566" s="26"/>
      <c r="S566" s="26"/>
      <c r="T566" s="26"/>
      <c r="U566" s="26"/>
      <c r="V566" s="26"/>
      <c r="W566" s="26"/>
    </row>
    <row r="567" spans="1:23">
      <c r="A567" s="26"/>
      <c r="B567" s="26"/>
      <c r="C567" s="26"/>
      <c r="D567" s="26"/>
      <c r="E567" s="26"/>
      <c r="F567" s="26"/>
      <c r="G567" s="26"/>
      <c r="H567" s="26"/>
      <c r="I567" s="26"/>
      <c r="J567" s="26"/>
      <c r="K567" s="26"/>
      <c r="L567" s="26"/>
      <c r="M567" s="26"/>
      <c r="N567" s="26"/>
      <c r="O567" s="26"/>
      <c r="P567" s="26"/>
      <c r="Q567" s="26"/>
      <c r="R567" s="26"/>
      <c r="S567" s="26"/>
      <c r="T567" s="26"/>
      <c r="U567" s="26"/>
      <c r="V567" s="26"/>
      <c r="W567" s="26"/>
    </row>
    <row r="568" spans="1:23">
      <c r="A568" s="26"/>
      <c r="B568" s="26"/>
      <c r="C568" s="26"/>
      <c r="D568" s="26"/>
      <c r="E568" s="26"/>
      <c r="F568" s="26"/>
      <c r="G568" s="26"/>
      <c r="H568" s="26"/>
      <c r="I568" s="26"/>
      <c r="J568" s="26"/>
      <c r="K568" s="26"/>
      <c r="L568" s="26"/>
      <c r="M568" s="26"/>
      <c r="N568" s="26"/>
      <c r="O568" s="26"/>
      <c r="P568" s="26"/>
      <c r="Q568" s="26"/>
      <c r="R568" s="26"/>
      <c r="S568" s="26"/>
      <c r="T568" s="26"/>
      <c r="U568" s="26"/>
      <c r="V568" s="26"/>
      <c r="W568" s="26"/>
    </row>
    <row r="569" spans="1:23">
      <c r="A569" s="26"/>
      <c r="B569" s="26"/>
      <c r="C569" s="26"/>
      <c r="D569" s="26"/>
      <c r="E569" s="26"/>
      <c r="F569" s="26"/>
      <c r="G569" s="26"/>
      <c r="H569" s="26"/>
      <c r="I569" s="26"/>
      <c r="J569" s="26"/>
      <c r="K569" s="26"/>
      <c r="L569" s="26"/>
      <c r="M569" s="26"/>
      <c r="N569" s="26"/>
      <c r="O569" s="26"/>
      <c r="P569" s="26"/>
      <c r="Q569" s="26"/>
      <c r="R569" s="26"/>
      <c r="S569" s="26"/>
      <c r="T569" s="26"/>
      <c r="U569" s="26"/>
      <c r="V569" s="26"/>
      <c r="W569" s="26"/>
    </row>
    <row r="570" spans="1:23">
      <c r="A570" s="26"/>
      <c r="B570" s="26"/>
      <c r="C570" s="26"/>
      <c r="D570" s="26"/>
      <c r="E570" s="26"/>
      <c r="F570" s="26"/>
      <c r="G570" s="26"/>
      <c r="H570" s="26"/>
      <c r="I570" s="26"/>
      <c r="J570" s="26"/>
      <c r="K570" s="26"/>
      <c r="L570" s="26"/>
      <c r="M570" s="26"/>
      <c r="N570" s="26"/>
      <c r="O570" s="26"/>
      <c r="P570" s="26"/>
      <c r="Q570" s="26"/>
      <c r="R570" s="26"/>
      <c r="S570" s="26"/>
      <c r="T570" s="26"/>
      <c r="U570" s="26"/>
      <c r="V570" s="26"/>
      <c r="W570" s="26"/>
    </row>
    <row r="571" spans="1:23">
      <c r="A571" s="26"/>
      <c r="B571" s="26"/>
      <c r="C571" s="26"/>
      <c r="D571" s="26"/>
      <c r="E571" s="26"/>
      <c r="F571" s="26"/>
      <c r="G571" s="26"/>
      <c r="H571" s="26"/>
      <c r="I571" s="26"/>
      <c r="J571" s="26"/>
      <c r="K571" s="26"/>
      <c r="L571" s="26"/>
      <c r="M571" s="26"/>
      <c r="N571" s="26"/>
      <c r="O571" s="26"/>
      <c r="P571" s="26"/>
      <c r="Q571" s="26"/>
      <c r="R571" s="26"/>
      <c r="S571" s="26"/>
      <c r="T571" s="26"/>
      <c r="U571" s="26"/>
      <c r="V571" s="26"/>
      <c r="W571" s="26"/>
    </row>
    <row r="572" spans="1:23">
      <c r="A572" s="26"/>
      <c r="B572" s="26"/>
      <c r="C572" s="26"/>
      <c r="D572" s="26"/>
      <c r="E572" s="26"/>
      <c r="F572" s="26"/>
      <c r="G572" s="26"/>
      <c r="H572" s="26"/>
      <c r="I572" s="26"/>
      <c r="J572" s="26"/>
      <c r="K572" s="26"/>
      <c r="L572" s="26"/>
      <c r="M572" s="26"/>
      <c r="N572" s="26"/>
      <c r="O572" s="26"/>
      <c r="P572" s="26"/>
      <c r="Q572" s="26"/>
      <c r="R572" s="26"/>
      <c r="S572" s="26"/>
      <c r="T572" s="26"/>
      <c r="U572" s="26"/>
      <c r="V572" s="26"/>
      <c r="W572" s="26"/>
    </row>
    <row r="573" spans="1:23">
      <c r="A573" s="26"/>
      <c r="B573" s="26"/>
      <c r="C573" s="26"/>
      <c r="D573" s="26"/>
      <c r="E573" s="26"/>
      <c r="F573" s="26"/>
      <c r="G573" s="26"/>
      <c r="H573" s="26"/>
      <c r="I573" s="26"/>
      <c r="J573" s="26"/>
      <c r="K573" s="26"/>
      <c r="L573" s="26"/>
      <c r="M573" s="26"/>
      <c r="N573" s="26"/>
      <c r="O573" s="26"/>
      <c r="P573" s="26"/>
      <c r="Q573" s="26"/>
      <c r="R573" s="26"/>
      <c r="S573" s="26"/>
      <c r="T573" s="26"/>
      <c r="U573" s="26"/>
      <c r="V573" s="26"/>
      <c r="W573" s="26"/>
    </row>
    <row r="574" spans="1:23">
      <c r="A574" s="26"/>
      <c r="B574" s="26"/>
      <c r="C574" s="26"/>
      <c r="D574" s="26"/>
      <c r="E574" s="26"/>
      <c r="F574" s="26"/>
      <c r="G574" s="26"/>
      <c r="H574" s="26"/>
      <c r="I574" s="26"/>
      <c r="J574" s="26"/>
      <c r="K574" s="26"/>
      <c r="L574" s="26"/>
      <c r="M574" s="26"/>
      <c r="N574" s="26"/>
      <c r="O574" s="26"/>
      <c r="P574" s="26"/>
      <c r="Q574" s="26"/>
      <c r="R574" s="26"/>
      <c r="S574" s="26"/>
      <c r="T574" s="26"/>
      <c r="U574" s="26"/>
      <c r="V574" s="26"/>
      <c r="W574" s="26"/>
    </row>
    <row r="575" spans="1:23">
      <c r="A575" s="26"/>
      <c r="B575" s="26"/>
      <c r="C575" s="26"/>
      <c r="D575" s="26"/>
      <c r="E575" s="26"/>
      <c r="F575" s="26"/>
      <c r="G575" s="26"/>
      <c r="H575" s="26"/>
      <c r="I575" s="26"/>
      <c r="J575" s="26"/>
      <c r="K575" s="26"/>
      <c r="L575" s="26"/>
      <c r="M575" s="26"/>
      <c r="N575" s="26"/>
      <c r="O575" s="26"/>
      <c r="P575" s="26"/>
      <c r="Q575" s="26"/>
      <c r="R575" s="26"/>
      <c r="S575" s="26"/>
      <c r="T575" s="26"/>
      <c r="U575" s="26"/>
      <c r="V575" s="26"/>
      <c r="W575" s="26"/>
    </row>
    <row r="576" spans="1:23">
      <c r="A576" s="26"/>
      <c r="B576" s="26"/>
      <c r="C576" s="26"/>
      <c r="D576" s="26"/>
      <c r="E576" s="26"/>
      <c r="F576" s="26"/>
      <c r="G576" s="26"/>
      <c r="H576" s="26"/>
      <c r="I576" s="26"/>
      <c r="J576" s="26"/>
      <c r="K576" s="26"/>
      <c r="L576" s="26"/>
      <c r="M576" s="26"/>
      <c r="N576" s="26"/>
      <c r="O576" s="26"/>
      <c r="P576" s="26"/>
      <c r="Q576" s="26"/>
      <c r="R576" s="26"/>
      <c r="S576" s="26"/>
      <c r="T576" s="26"/>
      <c r="U576" s="26"/>
      <c r="V576" s="26"/>
      <c r="W576" s="26"/>
    </row>
    <row r="577" spans="1:23">
      <c r="A577" s="26"/>
      <c r="B577" s="26"/>
      <c r="C577" s="26"/>
      <c r="D577" s="26"/>
      <c r="E577" s="26"/>
      <c r="F577" s="26"/>
      <c r="G577" s="26"/>
      <c r="H577" s="26"/>
      <c r="I577" s="26"/>
      <c r="J577" s="26"/>
      <c r="K577" s="26"/>
      <c r="L577" s="26"/>
      <c r="M577" s="26"/>
      <c r="N577" s="26"/>
      <c r="O577" s="26"/>
      <c r="P577" s="26"/>
      <c r="Q577" s="26"/>
      <c r="R577" s="26"/>
      <c r="S577" s="26"/>
      <c r="T577" s="26"/>
      <c r="U577" s="26"/>
      <c r="V577" s="26"/>
      <c r="W577" s="26"/>
    </row>
    <row r="578" spans="1:23">
      <c r="A578" s="26"/>
      <c r="B578" s="26"/>
      <c r="C578" s="26"/>
      <c r="D578" s="26"/>
      <c r="E578" s="26"/>
      <c r="F578" s="26"/>
      <c r="G578" s="26"/>
      <c r="H578" s="26"/>
      <c r="I578" s="26"/>
      <c r="J578" s="26"/>
      <c r="K578" s="26"/>
      <c r="L578" s="26"/>
      <c r="M578" s="26"/>
      <c r="N578" s="26"/>
      <c r="O578" s="26"/>
      <c r="P578" s="26"/>
      <c r="Q578" s="26"/>
      <c r="R578" s="26"/>
      <c r="S578" s="26"/>
      <c r="T578" s="26"/>
      <c r="U578" s="26"/>
      <c r="V578" s="26"/>
      <c r="W578" s="26"/>
    </row>
    <row r="579" spans="1:23">
      <c r="A579" s="26"/>
      <c r="B579" s="26"/>
      <c r="C579" s="26"/>
      <c r="D579" s="26"/>
      <c r="E579" s="26"/>
      <c r="F579" s="26"/>
      <c r="G579" s="26"/>
      <c r="H579" s="26"/>
      <c r="I579" s="26"/>
      <c r="J579" s="26"/>
      <c r="K579" s="26"/>
      <c r="L579" s="26"/>
      <c r="M579" s="26"/>
      <c r="N579" s="26"/>
      <c r="O579" s="26"/>
      <c r="P579" s="26"/>
      <c r="Q579" s="26"/>
      <c r="R579" s="26"/>
      <c r="S579" s="26"/>
      <c r="T579" s="26"/>
      <c r="U579" s="26"/>
      <c r="V579" s="26"/>
      <c r="W579" s="26"/>
    </row>
    <row r="580" spans="1:23">
      <c r="A580" s="26"/>
      <c r="B580" s="26"/>
      <c r="C580" s="26"/>
      <c r="D580" s="26"/>
      <c r="E580" s="26"/>
      <c r="F580" s="26"/>
      <c r="G580" s="26"/>
      <c r="H580" s="26"/>
      <c r="I580" s="26"/>
      <c r="J580" s="26"/>
      <c r="K580" s="26"/>
      <c r="L580" s="26"/>
      <c r="M580" s="26"/>
      <c r="N580" s="26"/>
      <c r="O580" s="26"/>
      <c r="P580" s="26"/>
      <c r="Q580" s="26"/>
      <c r="R580" s="26"/>
      <c r="S580" s="26"/>
      <c r="T580" s="26"/>
      <c r="U580" s="26"/>
      <c r="V580" s="26"/>
      <c r="W580" s="26"/>
    </row>
    <row r="581" spans="1:23">
      <c r="A581" s="26"/>
      <c r="B581" s="26"/>
      <c r="C581" s="26"/>
      <c r="D581" s="26"/>
      <c r="E581" s="26"/>
      <c r="F581" s="26"/>
      <c r="G581" s="26"/>
      <c r="H581" s="26"/>
      <c r="I581" s="26"/>
      <c r="J581" s="26"/>
      <c r="K581" s="26"/>
      <c r="L581" s="26"/>
      <c r="M581" s="26"/>
      <c r="N581" s="26"/>
      <c r="O581" s="26"/>
      <c r="P581" s="26"/>
      <c r="Q581" s="26"/>
      <c r="R581" s="26"/>
      <c r="S581" s="26"/>
      <c r="T581" s="26"/>
      <c r="U581" s="26"/>
      <c r="V581" s="26"/>
      <c r="W581" s="26"/>
    </row>
    <row r="582" spans="1:23">
      <c r="A582" s="26"/>
      <c r="B582" s="26"/>
      <c r="C582" s="26"/>
      <c r="D582" s="26"/>
      <c r="E582" s="26"/>
      <c r="F582" s="26"/>
      <c r="G582" s="26"/>
      <c r="H582" s="26"/>
      <c r="I582" s="26"/>
      <c r="J582" s="26"/>
      <c r="K582" s="26"/>
      <c r="L582" s="26"/>
      <c r="M582" s="26"/>
      <c r="N582" s="26"/>
      <c r="O582" s="26"/>
      <c r="P582" s="26"/>
      <c r="Q582" s="26"/>
      <c r="R582" s="26"/>
      <c r="S582" s="26"/>
      <c r="T582" s="26"/>
      <c r="U582" s="26"/>
      <c r="V582" s="26"/>
      <c r="W582" s="26"/>
    </row>
    <row r="583" spans="1:23">
      <c r="A583" s="26"/>
      <c r="B583" s="26"/>
      <c r="C583" s="26"/>
      <c r="D583" s="26"/>
      <c r="E583" s="26"/>
      <c r="F583" s="26"/>
      <c r="G583" s="26"/>
      <c r="H583" s="26"/>
      <c r="I583" s="26"/>
      <c r="J583" s="26"/>
      <c r="K583" s="26"/>
      <c r="L583" s="26"/>
      <c r="M583" s="26"/>
      <c r="N583" s="26"/>
      <c r="O583" s="26"/>
      <c r="P583" s="26"/>
      <c r="Q583" s="26"/>
      <c r="R583" s="26"/>
      <c r="S583" s="26"/>
      <c r="T583" s="26"/>
      <c r="U583" s="26"/>
      <c r="V583" s="26"/>
      <c r="W583" s="26"/>
    </row>
    <row r="584" spans="1:23">
      <c r="A584" s="26"/>
      <c r="B584" s="26"/>
      <c r="C584" s="26"/>
      <c r="D584" s="26"/>
      <c r="E584" s="26"/>
      <c r="F584" s="26"/>
      <c r="G584" s="26"/>
      <c r="H584" s="26"/>
      <c r="I584" s="26"/>
      <c r="J584" s="26"/>
      <c r="K584" s="26"/>
      <c r="L584" s="26"/>
      <c r="M584" s="26"/>
      <c r="N584" s="26"/>
      <c r="O584" s="26"/>
      <c r="P584" s="26"/>
      <c r="Q584" s="26"/>
      <c r="R584" s="26"/>
      <c r="S584" s="26"/>
      <c r="T584" s="26"/>
      <c r="U584" s="26"/>
      <c r="V584" s="26"/>
      <c r="W584" s="26"/>
    </row>
    <row r="585" spans="1:23">
      <c r="A585" s="26"/>
      <c r="B585" s="26"/>
      <c r="C585" s="26"/>
      <c r="D585" s="26"/>
      <c r="E585" s="26"/>
      <c r="F585" s="26"/>
      <c r="G585" s="26"/>
      <c r="H585" s="26"/>
      <c r="I585" s="26"/>
      <c r="J585" s="26"/>
      <c r="K585" s="26"/>
      <c r="L585" s="26"/>
      <c r="M585" s="26"/>
      <c r="N585" s="26"/>
      <c r="O585" s="26"/>
      <c r="P585" s="26"/>
      <c r="Q585" s="26"/>
      <c r="R585" s="26"/>
      <c r="S585" s="26"/>
      <c r="T585" s="26"/>
      <c r="U585" s="26"/>
      <c r="V585" s="26"/>
      <c r="W585" s="26"/>
    </row>
    <row r="586" spans="1:23">
      <c r="A586" s="26"/>
      <c r="B586" s="26"/>
      <c r="C586" s="26"/>
      <c r="D586" s="26"/>
      <c r="E586" s="26"/>
      <c r="F586" s="26"/>
      <c r="G586" s="26"/>
      <c r="H586" s="26"/>
      <c r="I586" s="26"/>
      <c r="J586" s="26"/>
      <c r="K586" s="26"/>
      <c r="L586" s="26"/>
      <c r="M586" s="26"/>
      <c r="N586" s="26"/>
      <c r="O586" s="26"/>
      <c r="P586" s="26"/>
      <c r="Q586" s="26"/>
      <c r="R586" s="26"/>
      <c r="S586" s="26"/>
      <c r="T586" s="26"/>
      <c r="U586" s="26"/>
      <c r="V586" s="26"/>
      <c r="W586" s="26"/>
    </row>
    <row r="587" spans="1:23">
      <c r="A587" s="26"/>
      <c r="B587" s="26"/>
      <c r="C587" s="26"/>
      <c r="D587" s="26"/>
      <c r="E587" s="26"/>
      <c r="F587" s="26"/>
      <c r="G587" s="26"/>
      <c r="H587" s="26"/>
      <c r="I587" s="26"/>
      <c r="J587" s="26"/>
      <c r="K587" s="26"/>
      <c r="L587" s="26"/>
      <c r="M587" s="26"/>
      <c r="N587" s="26"/>
      <c r="O587" s="26"/>
      <c r="P587" s="26"/>
      <c r="Q587" s="26"/>
      <c r="R587" s="26"/>
      <c r="S587" s="26"/>
      <c r="T587" s="26"/>
      <c r="U587" s="26"/>
      <c r="V587" s="26"/>
      <c r="W587" s="26"/>
    </row>
    <row r="588" spans="1:23">
      <c r="A588" s="26"/>
      <c r="B588" s="26"/>
      <c r="C588" s="26"/>
      <c r="D588" s="26"/>
      <c r="E588" s="26"/>
      <c r="F588" s="26"/>
      <c r="G588" s="26"/>
      <c r="H588" s="26"/>
      <c r="I588" s="26"/>
      <c r="J588" s="26"/>
      <c r="K588" s="26"/>
      <c r="L588" s="26"/>
      <c r="M588" s="26"/>
      <c r="N588" s="26"/>
      <c r="O588" s="26"/>
      <c r="P588" s="26"/>
      <c r="Q588" s="26"/>
      <c r="R588" s="26"/>
      <c r="S588" s="26"/>
      <c r="T588" s="26"/>
      <c r="U588" s="26"/>
      <c r="V588" s="26"/>
      <c r="W588" s="26"/>
    </row>
    <row r="589" spans="1:23">
      <c r="A589" s="26"/>
      <c r="B589" s="26"/>
      <c r="C589" s="26"/>
      <c r="D589" s="26"/>
      <c r="E589" s="26"/>
      <c r="F589" s="26"/>
      <c r="G589" s="26"/>
      <c r="H589" s="26"/>
      <c r="I589" s="26"/>
      <c r="J589" s="26"/>
      <c r="K589" s="26"/>
      <c r="L589" s="26"/>
      <c r="M589" s="26"/>
      <c r="N589" s="26"/>
      <c r="O589" s="26"/>
      <c r="P589" s="26"/>
      <c r="Q589" s="26"/>
      <c r="R589" s="26"/>
      <c r="S589" s="26"/>
      <c r="T589" s="26"/>
      <c r="U589" s="26"/>
      <c r="V589" s="26"/>
      <c r="W589" s="26"/>
    </row>
    <row r="590" spans="1:23">
      <c r="A590" s="26"/>
      <c r="B590" s="26"/>
      <c r="C590" s="26"/>
      <c r="D590" s="26"/>
      <c r="E590" s="26"/>
      <c r="F590" s="26"/>
      <c r="G590" s="26"/>
      <c r="H590" s="26"/>
      <c r="I590" s="26"/>
      <c r="J590" s="26"/>
      <c r="K590" s="26"/>
      <c r="L590" s="26"/>
      <c r="M590" s="26"/>
      <c r="N590" s="26"/>
      <c r="O590" s="26"/>
      <c r="P590" s="26"/>
      <c r="Q590" s="26"/>
      <c r="R590" s="26"/>
      <c r="S590" s="26"/>
      <c r="T590" s="26"/>
      <c r="U590" s="26"/>
      <c r="V590" s="26"/>
      <c r="W590" s="26"/>
    </row>
    <row r="591" spans="1:23">
      <c r="A591" s="26"/>
      <c r="B591" s="26"/>
      <c r="C591" s="26"/>
      <c r="D591" s="26"/>
      <c r="E591" s="26"/>
      <c r="F591" s="26"/>
      <c r="G591" s="26"/>
      <c r="H591" s="26"/>
      <c r="I591" s="26"/>
      <c r="J591" s="26"/>
      <c r="K591" s="26"/>
      <c r="L591" s="26"/>
      <c r="M591" s="26"/>
      <c r="N591" s="26"/>
      <c r="O591" s="26"/>
      <c r="P591" s="26"/>
      <c r="Q591" s="26"/>
      <c r="R591" s="26"/>
      <c r="S591" s="26"/>
      <c r="T591" s="26"/>
      <c r="U591" s="26"/>
      <c r="V591" s="26"/>
      <c r="W591" s="26"/>
    </row>
    <row r="592" spans="1:23">
      <c r="A592" s="26"/>
      <c r="B592" s="26"/>
      <c r="C592" s="26"/>
      <c r="D592" s="26"/>
      <c r="E592" s="26"/>
      <c r="F592" s="26"/>
      <c r="G592" s="26"/>
      <c r="H592" s="26"/>
      <c r="I592" s="26"/>
      <c r="J592" s="26"/>
      <c r="K592" s="26"/>
      <c r="L592" s="26"/>
      <c r="M592" s="26"/>
      <c r="N592" s="26"/>
      <c r="O592" s="26"/>
      <c r="P592" s="26"/>
      <c r="Q592" s="26"/>
      <c r="R592" s="26"/>
      <c r="S592" s="26"/>
      <c r="T592" s="26"/>
      <c r="U592" s="26"/>
      <c r="V592" s="26"/>
      <c r="W592" s="26"/>
    </row>
    <row r="593" spans="1:23">
      <c r="A593" s="26"/>
      <c r="B593" s="26"/>
      <c r="C593" s="26"/>
      <c r="D593" s="26"/>
      <c r="E593" s="26"/>
      <c r="F593" s="26"/>
      <c r="G593" s="26"/>
      <c r="H593" s="26"/>
      <c r="I593" s="26"/>
      <c r="J593" s="26"/>
      <c r="K593" s="26"/>
      <c r="L593" s="26"/>
      <c r="M593" s="26"/>
      <c r="N593" s="26"/>
      <c r="O593" s="26"/>
      <c r="P593" s="26"/>
      <c r="Q593" s="26"/>
      <c r="R593" s="26"/>
      <c r="S593" s="26"/>
      <c r="T593" s="26"/>
      <c r="U593" s="26"/>
      <c r="V593" s="26"/>
      <c r="W593" s="26"/>
    </row>
    <row r="594" spans="1:23">
      <c r="A594" s="26"/>
      <c r="B594" s="26"/>
      <c r="C594" s="26"/>
      <c r="D594" s="26"/>
      <c r="E594" s="26"/>
      <c r="F594" s="26"/>
      <c r="G594" s="26"/>
      <c r="H594" s="26"/>
      <c r="I594" s="26"/>
      <c r="J594" s="26"/>
      <c r="K594" s="26"/>
      <c r="L594" s="26"/>
      <c r="M594" s="26"/>
      <c r="N594" s="26"/>
      <c r="O594" s="26"/>
      <c r="P594" s="26"/>
      <c r="Q594" s="26"/>
      <c r="R594" s="26"/>
      <c r="S594" s="26"/>
      <c r="T594" s="26"/>
      <c r="U594" s="26"/>
      <c r="V594" s="26"/>
      <c r="W594" s="26"/>
    </row>
    <row r="595" spans="1:23">
      <c r="A595" s="26"/>
      <c r="B595" s="26"/>
      <c r="C595" s="26"/>
      <c r="D595" s="26"/>
      <c r="E595" s="26"/>
      <c r="F595" s="26"/>
      <c r="G595" s="26"/>
      <c r="H595" s="26"/>
      <c r="I595" s="26"/>
      <c r="J595" s="26"/>
      <c r="K595" s="26"/>
      <c r="L595" s="26"/>
      <c r="M595" s="26"/>
      <c r="N595" s="26"/>
      <c r="O595" s="26"/>
      <c r="P595" s="26"/>
      <c r="Q595" s="26"/>
      <c r="R595" s="26"/>
      <c r="S595" s="26"/>
      <c r="T595" s="26"/>
      <c r="U595" s="26"/>
      <c r="V595" s="26"/>
      <c r="W595" s="26"/>
    </row>
    <row r="596" spans="1:23">
      <c r="A596" s="26"/>
      <c r="B596" s="26"/>
      <c r="C596" s="26"/>
      <c r="D596" s="26"/>
      <c r="E596" s="26"/>
      <c r="F596" s="26"/>
      <c r="G596" s="26"/>
      <c r="H596" s="26"/>
      <c r="I596" s="26"/>
      <c r="J596" s="26"/>
      <c r="K596" s="26"/>
      <c r="L596" s="26"/>
      <c r="M596" s="26"/>
      <c r="N596" s="26"/>
      <c r="O596" s="26"/>
      <c r="P596" s="26"/>
      <c r="Q596" s="26"/>
      <c r="R596" s="26"/>
      <c r="S596" s="26"/>
      <c r="T596" s="26"/>
      <c r="U596" s="26"/>
      <c r="V596" s="26"/>
      <c r="W596" s="26"/>
    </row>
    <row r="597" spans="1:23">
      <c r="A597" s="26"/>
      <c r="B597" s="26"/>
      <c r="C597" s="26"/>
      <c r="D597" s="26"/>
      <c r="E597" s="26"/>
      <c r="F597" s="26"/>
      <c r="G597" s="26"/>
      <c r="H597" s="26"/>
      <c r="I597" s="26"/>
      <c r="J597" s="26"/>
      <c r="K597" s="26"/>
      <c r="L597" s="26"/>
      <c r="M597" s="26"/>
      <c r="N597" s="26"/>
      <c r="O597" s="26"/>
      <c r="P597" s="26"/>
      <c r="Q597" s="26"/>
      <c r="R597" s="26"/>
      <c r="S597" s="26"/>
      <c r="T597" s="26"/>
      <c r="U597" s="26"/>
      <c r="V597" s="26"/>
      <c r="W597" s="26"/>
    </row>
    <row r="598" spans="1:23">
      <c r="A598" s="26"/>
      <c r="B598" s="26"/>
      <c r="C598" s="26"/>
      <c r="D598" s="26"/>
      <c r="E598" s="26"/>
      <c r="F598" s="26"/>
      <c r="G598" s="26"/>
      <c r="H598" s="26"/>
      <c r="I598" s="26"/>
      <c r="J598" s="26"/>
      <c r="K598" s="26"/>
      <c r="L598" s="26"/>
      <c r="M598" s="26"/>
      <c r="N598" s="26"/>
      <c r="O598" s="26"/>
      <c r="P598" s="26"/>
      <c r="Q598" s="26"/>
      <c r="R598" s="26"/>
      <c r="S598" s="26"/>
      <c r="T598" s="26"/>
      <c r="U598" s="26"/>
      <c r="V598" s="26"/>
      <c r="W598" s="26"/>
    </row>
    <row r="599" spans="1:23">
      <c r="A599" s="26"/>
      <c r="B599" s="26"/>
      <c r="C599" s="26"/>
      <c r="D599" s="26"/>
      <c r="E599" s="26"/>
      <c r="F599" s="26"/>
      <c r="G599" s="26"/>
      <c r="H599" s="26"/>
      <c r="I599" s="26"/>
      <c r="J599" s="26"/>
      <c r="K599" s="26"/>
      <c r="L599" s="26"/>
      <c r="M599" s="26"/>
      <c r="N599" s="26"/>
      <c r="O599" s="26"/>
      <c r="P599" s="26"/>
      <c r="Q599" s="26"/>
      <c r="R599" s="26"/>
      <c r="S599" s="26"/>
      <c r="T599" s="26"/>
      <c r="U599" s="26"/>
      <c r="V599" s="26"/>
      <c r="W599" s="26"/>
    </row>
    <row r="600" spans="1:23">
      <c r="A600" s="26"/>
      <c r="B600" s="26"/>
      <c r="C600" s="26"/>
      <c r="D600" s="26"/>
      <c r="E600" s="26"/>
      <c r="F600" s="26"/>
      <c r="G600" s="26"/>
      <c r="H600" s="26"/>
      <c r="I600" s="26"/>
      <c r="J600" s="26"/>
      <c r="K600" s="26"/>
      <c r="L600" s="26"/>
      <c r="M600" s="26"/>
      <c r="N600" s="26"/>
      <c r="O600" s="26"/>
      <c r="P600" s="26"/>
      <c r="Q600" s="26"/>
      <c r="R600" s="26"/>
      <c r="S600" s="26"/>
      <c r="T600" s="26"/>
      <c r="U600" s="26"/>
      <c r="V600" s="26"/>
      <c r="W600" s="26"/>
    </row>
    <row r="601" spans="1:23">
      <c r="A601" s="26"/>
      <c r="B601" s="26"/>
      <c r="C601" s="26"/>
      <c r="D601" s="26"/>
      <c r="E601" s="26"/>
      <c r="F601" s="26"/>
      <c r="G601" s="26"/>
      <c r="H601" s="26"/>
      <c r="I601" s="26"/>
      <c r="J601" s="26"/>
      <c r="K601" s="26"/>
      <c r="L601" s="26"/>
      <c r="M601" s="26"/>
      <c r="N601" s="26"/>
      <c r="O601" s="26"/>
      <c r="P601" s="26"/>
      <c r="Q601" s="26"/>
      <c r="R601" s="26"/>
      <c r="S601" s="26"/>
      <c r="T601" s="26"/>
      <c r="U601" s="26"/>
      <c r="V601" s="26"/>
      <c r="W601" s="26"/>
    </row>
    <row r="602" spans="1:23">
      <c r="A602" s="26"/>
      <c r="B602" s="26"/>
      <c r="C602" s="26"/>
      <c r="D602" s="26"/>
      <c r="E602" s="26"/>
      <c r="F602" s="26"/>
      <c r="G602" s="26"/>
      <c r="H602" s="26"/>
      <c r="I602" s="26"/>
      <c r="J602" s="26"/>
      <c r="K602" s="26"/>
      <c r="L602" s="26"/>
      <c r="M602" s="26"/>
      <c r="N602" s="26"/>
      <c r="O602" s="26"/>
      <c r="P602" s="26"/>
      <c r="Q602" s="26"/>
      <c r="R602" s="26"/>
      <c r="S602" s="26"/>
      <c r="T602" s="26"/>
      <c r="U602" s="26"/>
      <c r="V602" s="26"/>
      <c r="W602" s="26"/>
    </row>
    <row r="603" spans="1:23">
      <c r="A603" s="26"/>
      <c r="B603" s="26"/>
      <c r="C603" s="26"/>
      <c r="D603" s="26"/>
      <c r="E603" s="26"/>
      <c r="F603" s="26"/>
      <c r="G603" s="26"/>
      <c r="H603" s="26"/>
      <c r="I603" s="26"/>
      <c r="J603" s="26"/>
      <c r="K603" s="26"/>
      <c r="L603" s="26"/>
      <c r="M603" s="26"/>
      <c r="N603" s="26"/>
      <c r="O603" s="26"/>
      <c r="P603" s="26"/>
      <c r="Q603" s="26"/>
      <c r="R603" s="26"/>
      <c r="S603" s="26"/>
      <c r="T603" s="26"/>
      <c r="U603" s="26"/>
      <c r="V603" s="26"/>
      <c r="W603" s="26"/>
    </row>
    <row r="604" spans="1:23">
      <c r="A604" s="26"/>
      <c r="B604" s="26"/>
      <c r="C604" s="26"/>
      <c r="D604" s="26"/>
      <c r="E604" s="26"/>
      <c r="F604" s="26"/>
      <c r="G604" s="26"/>
      <c r="H604" s="26"/>
      <c r="I604" s="26"/>
      <c r="J604" s="26"/>
      <c r="K604" s="26"/>
      <c r="L604" s="26"/>
      <c r="M604" s="26"/>
      <c r="N604" s="26"/>
      <c r="O604" s="26"/>
      <c r="P604" s="26"/>
      <c r="Q604" s="26"/>
      <c r="R604" s="26"/>
      <c r="S604" s="26"/>
      <c r="T604" s="26"/>
      <c r="U604" s="26"/>
      <c r="V604" s="26"/>
      <c r="W604" s="26"/>
    </row>
    <row r="605" spans="1:23">
      <c r="A605" s="26"/>
      <c r="B605" s="26"/>
      <c r="C605" s="26"/>
      <c r="D605" s="26"/>
      <c r="E605" s="26"/>
      <c r="F605" s="26"/>
      <c r="G605" s="26"/>
      <c r="H605" s="26"/>
      <c r="I605" s="26"/>
      <c r="J605" s="26"/>
      <c r="K605" s="26"/>
      <c r="L605" s="26"/>
      <c r="M605" s="26"/>
      <c r="N605" s="26"/>
      <c r="O605" s="26"/>
      <c r="P605" s="26"/>
      <c r="Q605" s="26"/>
      <c r="R605" s="26"/>
      <c r="S605" s="26"/>
      <c r="T605" s="26"/>
      <c r="U605" s="26"/>
      <c r="V605" s="26"/>
      <c r="W605" s="26"/>
    </row>
    <row r="606" spans="1:23">
      <c r="A606" s="26"/>
      <c r="B606" s="26"/>
      <c r="C606" s="26"/>
      <c r="D606" s="26"/>
      <c r="E606" s="26"/>
      <c r="F606" s="26"/>
      <c r="G606" s="26"/>
      <c r="H606" s="26"/>
      <c r="I606" s="26"/>
      <c r="J606" s="26"/>
      <c r="K606" s="26"/>
      <c r="L606" s="26"/>
      <c r="M606" s="26"/>
      <c r="N606" s="26"/>
      <c r="O606" s="26"/>
      <c r="P606" s="26"/>
      <c r="Q606" s="26"/>
      <c r="R606" s="26"/>
      <c r="S606" s="26"/>
      <c r="T606" s="26"/>
      <c r="U606" s="26"/>
      <c r="V606" s="26"/>
      <c r="W606" s="26"/>
    </row>
    <row r="607" spans="1:23">
      <c r="A607" s="26"/>
      <c r="B607" s="26"/>
      <c r="C607" s="26"/>
      <c r="D607" s="26"/>
      <c r="E607" s="26"/>
      <c r="F607" s="26"/>
      <c r="G607" s="26"/>
      <c r="H607" s="26"/>
      <c r="I607" s="26"/>
      <c r="J607" s="26"/>
      <c r="K607" s="26"/>
      <c r="L607" s="26"/>
      <c r="M607" s="26"/>
      <c r="N607" s="26"/>
      <c r="O607" s="26"/>
      <c r="P607" s="26"/>
      <c r="Q607" s="26"/>
      <c r="R607" s="26"/>
      <c r="S607" s="26"/>
      <c r="T607" s="26"/>
      <c r="U607" s="26"/>
      <c r="V607" s="26"/>
      <c r="W607" s="26"/>
    </row>
    <row r="608" spans="1:23">
      <c r="A608" s="26"/>
      <c r="B608" s="26"/>
      <c r="C608" s="26"/>
      <c r="D608" s="26"/>
      <c r="E608" s="26"/>
      <c r="F608" s="26"/>
      <c r="G608" s="26"/>
      <c r="H608" s="26"/>
      <c r="I608" s="26"/>
      <c r="J608" s="26"/>
      <c r="K608" s="26"/>
      <c r="L608" s="26"/>
      <c r="M608" s="26"/>
      <c r="N608" s="26"/>
      <c r="O608" s="26"/>
      <c r="P608" s="26"/>
      <c r="Q608" s="26"/>
      <c r="R608" s="26"/>
      <c r="S608" s="26"/>
      <c r="T608" s="26"/>
      <c r="U608" s="26"/>
      <c r="V608" s="26"/>
      <c r="W608" s="26"/>
    </row>
    <row r="609" spans="1:23">
      <c r="A609" s="26"/>
      <c r="B609" s="26"/>
      <c r="C609" s="26"/>
      <c r="D609" s="26"/>
      <c r="E609" s="26"/>
      <c r="F609" s="26"/>
      <c r="G609" s="26"/>
      <c r="H609" s="26"/>
      <c r="I609" s="26"/>
      <c r="J609" s="26"/>
      <c r="K609" s="26"/>
      <c r="L609" s="26"/>
      <c r="M609" s="26"/>
      <c r="N609" s="26"/>
      <c r="O609" s="26"/>
      <c r="P609" s="26"/>
      <c r="Q609" s="26"/>
      <c r="R609" s="26"/>
      <c r="S609" s="26"/>
      <c r="T609" s="26"/>
      <c r="U609" s="26"/>
      <c r="V609" s="26"/>
      <c r="W609" s="26"/>
    </row>
    <row r="610" spans="1:23">
      <c r="A610" s="26"/>
      <c r="B610" s="26"/>
      <c r="C610" s="26"/>
      <c r="D610" s="26"/>
      <c r="E610" s="26"/>
      <c r="F610" s="26"/>
      <c r="G610" s="26"/>
      <c r="H610" s="26"/>
      <c r="I610" s="26"/>
      <c r="J610" s="26"/>
      <c r="K610" s="26"/>
      <c r="L610" s="26"/>
      <c r="M610" s="26"/>
      <c r="N610" s="26"/>
      <c r="O610" s="26"/>
      <c r="P610" s="26"/>
      <c r="Q610" s="26"/>
      <c r="R610" s="26"/>
      <c r="S610" s="26"/>
      <c r="T610" s="26"/>
      <c r="U610" s="26"/>
      <c r="V610" s="26"/>
      <c r="W610" s="26"/>
    </row>
    <row r="611" spans="1:23">
      <c r="A611" s="26"/>
      <c r="B611" s="26"/>
      <c r="C611" s="26"/>
      <c r="D611" s="26"/>
      <c r="E611" s="26"/>
      <c r="F611" s="26"/>
      <c r="G611" s="26"/>
      <c r="H611" s="26"/>
      <c r="I611" s="26"/>
      <c r="J611" s="26"/>
      <c r="K611" s="26"/>
      <c r="L611" s="26"/>
      <c r="M611" s="26"/>
      <c r="N611" s="26"/>
      <c r="O611" s="26"/>
      <c r="P611" s="26"/>
      <c r="Q611" s="26"/>
      <c r="R611" s="26"/>
      <c r="S611" s="26"/>
      <c r="T611" s="26"/>
      <c r="U611" s="26"/>
      <c r="V611" s="26"/>
      <c r="W611" s="26"/>
    </row>
    <row r="612" spans="1:23">
      <c r="A612" s="26"/>
      <c r="B612" s="26"/>
      <c r="C612" s="26"/>
      <c r="D612" s="26"/>
      <c r="E612" s="26"/>
      <c r="F612" s="26"/>
      <c r="G612" s="26"/>
      <c r="H612" s="26"/>
      <c r="I612" s="26"/>
      <c r="J612" s="26"/>
      <c r="K612" s="26"/>
      <c r="L612" s="26"/>
      <c r="M612" s="26"/>
      <c r="N612" s="26"/>
      <c r="O612" s="26"/>
      <c r="P612" s="26"/>
      <c r="Q612" s="26"/>
      <c r="R612" s="26"/>
      <c r="S612" s="26"/>
      <c r="T612" s="26"/>
      <c r="U612" s="26"/>
      <c r="V612" s="26"/>
      <c r="W612" s="26"/>
    </row>
    <row r="613" spans="1:23">
      <c r="A613" s="26"/>
      <c r="B613" s="26"/>
      <c r="C613" s="26"/>
      <c r="D613" s="26"/>
      <c r="E613" s="26"/>
      <c r="F613" s="26"/>
      <c r="G613" s="26"/>
      <c r="H613" s="26"/>
      <c r="I613" s="26"/>
      <c r="J613" s="26"/>
      <c r="K613" s="26"/>
      <c r="L613" s="26"/>
      <c r="M613" s="26"/>
      <c r="N613" s="26"/>
      <c r="O613" s="26"/>
      <c r="P613" s="26"/>
      <c r="Q613" s="26"/>
      <c r="R613" s="26"/>
      <c r="S613" s="26"/>
      <c r="T613" s="26"/>
      <c r="U613" s="26"/>
      <c r="V613" s="26"/>
      <c r="W613" s="26"/>
    </row>
    <row r="614" spans="1:23">
      <c r="A614" s="26"/>
      <c r="B614" s="26"/>
      <c r="C614" s="26"/>
      <c r="D614" s="26"/>
      <c r="E614" s="26"/>
      <c r="F614" s="26"/>
      <c r="G614" s="26"/>
      <c r="H614" s="26"/>
      <c r="I614" s="26"/>
      <c r="J614" s="26"/>
      <c r="K614" s="26"/>
      <c r="L614" s="26"/>
      <c r="M614" s="26"/>
      <c r="N614" s="26"/>
      <c r="O614" s="26"/>
      <c r="P614" s="26"/>
      <c r="Q614" s="26"/>
      <c r="R614" s="26"/>
      <c r="S614" s="26"/>
      <c r="T614" s="26"/>
      <c r="U614" s="26"/>
      <c r="V614" s="26"/>
      <c r="W614" s="26"/>
    </row>
    <row r="615" spans="1:23">
      <c r="A615" s="26"/>
      <c r="B615" s="26"/>
      <c r="C615" s="26"/>
      <c r="D615" s="26"/>
      <c r="E615" s="26"/>
      <c r="F615" s="26"/>
      <c r="G615" s="26"/>
      <c r="H615" s="26"/>
      <c r="I615" s="26"/>
      <c r="J615" s="26"/>
      <c r="K615" s="26"/>
      <c r="L615" s="26"/>
      <c r="M615" s="26"/>
      <c r="N615" s="26"/>
      <c r="O615" s="26"/>
      <c r="P615" s="26"/>
      <c r="Q615" s="26"/>
      <c r="R615" s="26"/>
      <c r="S615" s="26"/>
      <c r="T615" s="26"/>
      <c r="U615" s="26"/>
      <c r="V615" s="26"/>
      <c r="W615" s="26"/>
    </row>
    <row r="616" spans="1:23">
      <c r="A616" s="26"/>
      <c r="B616" s="26"/>
      <c r="C616" s="26"/>
      <c r="D616" s="26"/>
      <c r="E616" s="26"/>
      <c r="F616" s="26"/>
      <c r="G616" s="26"/>
      <c r="H616" s="26"/>
      <c r="I616" s="26"/>
      <c r="J616" s="26"/>
      <c r="K616" s="26"/>
      <c r="L616" s="26"/>
      <c r="M616" s="26"/>
      <c r="N616" s="26"/>
      <c r="O616" s="26"/>
      <c r="P616" s="26"/>
      <c r="Q616" s="26"/>
      <c r="R616" s="26"/>
      <c r="S616" s="26"/>
      <c r="T616" s="26"/>
      <c r="U616" s="26"/>
      <c r="V616" s="26"/>
      <c r="W616" s="26"/>
    </row>
    <row r="617" spans="1:23">
      <c r="A617" s="26"/>
      <c r="B617" s="26"/>
      <c r="C617" s="26"/>
      <c r="D617" s="26"/>
      <c r="E617" s="26"/>
      <c r="F617" s="26"/>
      <c r="G617" s="26"/>
      <c r="H617" s="26"/>
      <c r="I617" s="26"/>
      <c r="J617" s="26"/>
      <c r="K617" s="26"/>
      <c r="L617" s="26"/>
      <c r="M617" s="26"/>
      <c r="N617" s="26"/>
      <c r="O617" s="26"/>
      <c r="P617" s="26"/>
      <c r="Q617" s="26"/>
      <c r="R617" s="26"/>
      <c r="S617" s="26"/>
      <c r="T617" s="26"/>
      <c r="U617" s="26"/>
      <c r="V617" s="26"/>
      <c r="W617" s="26"/>
    </row>
    <row r="618" spans="1:23">
      <c r="A618" s="26"/>
      <c r="B618" s="26"/>
      <c r="C618" s="26"/>
      <c r="D618" s="26"/>
      <c r="E618" s="26"/>
      <c r="F618" s="26"/>
      <c r="G618" s="26"/>
      <c r="H618" s="26"/>
      <c r="I618" s="26"/>
      <c r="J618" s="26"/>
      <c r="K618" s="26"/>
      <c r="L618" s="26"/>
      <c r="M618" s="26"/>
      <c r="N618" s="26"/>
      <c r="O618" s="26"/>
      <c r="P618" s="26"/>
      <c r="Q618" s="26"/>
      <c r="R618" s="26"/>
      <c r="S618" s="26"/>
      <c r="T618" s="26"/>
      <c r="U618" s="26"/>
      <c r="V618" s="26"/>
      <c r="W618" s="26"/>
    </row>
    <row r="619" spans="1:23">
      <c r="A619" s="26"/>
      <c r="B619" s="26"/>
      <c r="C619" s="26"/>
      <c r="D619" s="26"/>
      <c r="E619" s="26"/>
      <c r="F619" s="26"/>
      <c r="G619" s="26"/>
      <c r="H619" s="26"/>
      <c r="I619" s="26"/>
      <c r="J619" s="26"/>
      <c r="K619" s="26"/>
      <c r="L619" s="26"/>
      <c r="M619" s="26"/>
      <c r="N619" s="26"/>
      <c r="O619" s="26"/>
      <c r="P619" s="26"/>
      <c r="Q619" s="26"/>
      <c r="R619" s="26"/>
      <c r="S619" s="26"/>
      <c r="T619" s="26"/>
      <c r="U619" s="26"/>
      <c r="V619" s="26"/>
      <c r="W619" s="26"/>
    </row>
    <row r="620" spans="1:23">
      <c r="A620" s="26"/>
      <c r="B620" s="26"/>
      <c r="C620" s="26"/>
      <c r="D620" s="26"/>
      <c r="E620" s="26"/>
      <c r="F620" s="26"/>
      <c r="G620" s="26"/>
      <c r="H620" s="26"/>
      <c r="I620" s="26"/>
      <c r="J620" s="26"/>
      <c r="K620" s="26"/>
      <c r="L620" s="26"/>
      <c r="M620" s="26"/>
      <c r="N620" s="26"/>
      <c r="O620" s="26"/>
      <c r="P620" s="26"/>
      <c r="Q620" s="26"/>
      <c r="R620" s="26"/>
      <c r="S620" s="26"/>
      <c r="T620" s="26"/>
      <c r="U620" s="26"/>
      <c r="V620" s="26"/>
      <c r="W620" s="26"/>
    </row>
    <row r="621" spans="1:23">
      <c r="A621" s="26"/>
      <c r="B621" s="26"/>
      <c r="C621" s="26"/>
      <c r="D621" s="26"/>
      <c r="E621" s="26"/>
      <c r="F621" s="26"/>
      <c r="G621" s="26"/>
      <c r="H621" s="26"/>
      <c r="I621" s="26"/>
      <c r="J621" s="26"/>
      <c r="K621" s="26"/>
      <c r="L621" s="26"/>
      <c r="M621" s="26"/>
      <c r="N621" s="26"/>
      <c r="O621" s="26"/>
      <c r="P621" s="26"/>
      <c r="Q621" s="26"/>
      <c r="R621" s="26"/>
      <c r="S621" s="26"/>
      <c r="T621" s="26"/>
      <c r="U621" s="26"/>
      <c r="V621" s="26"/>
      <c r="W621" s="26"/>
    </row>
    <row r="622" spans="1:23">
      <c r="A622" s="26"/>
      <c r="B622" s="26"/>
      <c r="C622" s="26"/>
      <c r="D622" s="26"/>
      <c r="E622" s="26"/>
      <c r="F622" s="26"/>
      <c r="G622" s="26"/>
      <c r="H622" s="26"/>
      <c r="I622" s="26"/>
      <c r="J622" s="26"/>
      <c r="K622" s="26"/>
      <c r="L622" s="26"/>
      <c r="M622" s="26"/>
      <c r="N622" s="26"/>
      <c r="O622" s="26"/>
      <c r="P622" s="26"/>
      <c r="Q622" s="26"/>
      <c r="R622" s="26"/>
      <c r="S622" s="26"/>
      <c r="T622" s="26"/>
      <c r="U622" s="26"/>
      <c r="V622" s="26"/>
      <c r="W622" s="26"/>
    </row>
    <row r="623" spans="1:23">
      <c r="A623" s="26"/>
      <c r="B623" s="26"/>
      <c r="C623" s="26"/>
      <c r="D623" s="26"/>
      <c r="E623" s="26"/>
      <c r="F623" s="26"/>
      <c r="G623" s="26"/>
      <c r="H623" s="26"/>
      <c r="I623" s="26"/>
      <c r="J623" s="26"/>
      <c r="K623" s="26"/>
      <c r="L623" s="26"/>
      <c r="M623" s="26"/>
      <c r="N623" s="26"/>
      <c r="O623" s="26"/>
      <c r="P623" s="26"/>
      <c r="Q623" s="26"/>
      <c r="R623" s="26"/>
      <c r="S623" s="26"/>
      <c r="T623" s="26"/>
      <c r="U623" s="26"/>
      <c r="V623" s="26"/>
      <c r="W623" s="26"/>
    </row>
    <row r="624" spans="1:23">
      <c r="A624" s="26"/>
      <c r="B624" s="26"/>
      <c r="C624" s="26"/>
      <c r="D624" s="26"/>
      <c r="E624" s="26"/>
      <c r="F624" s="26"/>
      <c r="G624" s="26"/>
      <c r="H624" s="26"/>
      <c r="I624" s="26"/>
      <c r="J624" s="26"/>
      <c r="K624" s="26"/>
      <c r="L624" s="26"/>
      <c r="M624" s="26"/>
      <c r="N624" s="26"/>
      <c r="O624" s="26"/>
      <c r="P624" s="26"/>
      <c r="Q624" s="26"/>
      <c r="R624" s="26"/>
      <c r="S624" s="26"/>
      <c r="T624" s="26"/>
      <c r="U624" s="26"/>
      <c r="V624" s="26"/>
      <c r="W624" s="26"/>
    </row>
    <row r="625" spans="1:23">
      <c r="A625" s="26"/>
      <c r="B625" s="26"/>
      <c r="C625" s="26"/>
      <c r="D625" s="26"/>
      <c r="E625" s="26"/>
      <c r="F625" s="26"/>
      <c r="G625" s="26"/>
      <c r="H625" s="26"/>
      <c r="I625" s="26"/>
      <c r="J625" s="26"/>
      <c r="K625" s="26"/>
      <c r="L625" s="26"/>
      <c r="M625" s="26"/>
      <c r="N625" s="26"/>
      <c r="O625" s="26"/>
      <c r="P625" s="26"/>
      <c r="Q625" s="26"/>
      <c r="R625" s="26"/>
      <c r="S625" s="26"/>
      <c r="T625" s="26"/>
      <c r="U625" s="26"/>
      <c r="V625" s="26"/>
      <c r="W625" s="26"/>
    </row>
    <row r="626" spans="1:23">
      <c r="A626" s="26"/>
      <c r="B626" s="26"/>
      <c r="C626" s="26"/>
      <c r="D626" s="26"/>
      <c r="E626" s="26"/>
      <c r="F626" s="26"/>
      <c r="G626" s="26"/>
      <c r="H626" s="26"/>
      <c r="I626" s="26"/>
      <c r="J626" s="26"/>
      <c r="K626" s="26"/>
      <c r="L626" s="26"/>
      <c r="M626" s="26"/>
      <c r="N626" s="26"/>
      <c r="O626" s="26"/>
      <c r="P626" s="26"/>
      <c r="Q626" s="26"/>
      <c r="R626" s="26"/>
      <c r="S626" s="26"/>
      <c r="T626" s="26"/>
      <c r="U626" s="26"/>
      <c r="V626" s="26"/>
      <c r="W626" s="26"/>
    </row>
    <row r="627" spans="1:23">
      <c r="A627" s="26"/>
      <c r="B627" s="26"/>
      <c r="C627" s="26"/>
      <c r="D627" s="26"/>
      <c r="E627" s="26"/>
      <c r="F627" s="26"/>
      <c r="G627" s="26"/>
      <c r="H627" s="26"/>
      <c r="I627" s="26"/>
      <c r="J627" s="26"/>
      <c r="K627" s="26"/>
      <c r="L627" s="26"/>
      <c r="M627" s="26"/>
      <c r="N627" s="26"/>
      <c r="O627" s="26"/>
      <c r="P627" s="26"/>
      <c r="Q627" s="26"/>
      <c r="R627" s="26"/>
      <c r="S627" s="26"/>
      <c r="T627" s="26"/>
      <c r="U627" s="26"/>
      <c r="V627" s="26"/>
      <c r="W627" s="26"/>
    </row>
    <row r="628" spans="1:23">
      <c r="A628" s="26"/>
      <c r="B628" s="26"/>
      <c r="C628" s="26"/>
      <c r="D628" s="26"/>
      <c r="E628" s="26"/>
      <c r="F628" s="26"/>
      <c r="G628" s="26"/>
      <c r="H628" s="26"/>
      <c r="I628" s="26"/>
      <c r="J628" s="26"/>
      <c r="K628" s="26"/>
      <c r="L628" s="26"/>
      <c r="M628" s="26"/>
      <c r="N628" s="26"/>
      <c r="O628" s="26"/>
      <c r="P628" s="26"/>
      <c r="Q628" s="26"/>
      <c r="R628" s="26"/>
      <c r="S628" s="26"/>
      <c r="T628" s="26"/>
      <c r="U628" s="26"/>
      <c r="V628" s="26"/>
      <c r="W628" s="26"/>
    </row>
    <row r="629" spans="1:23">
      <c r="A629" s="26"/>
      <c r="B629" s="26"/>
      <c r="C629" s="26"/>
      <c r="D629" s="26"/>
      <c r="E629" s="26"/>
      <c r="F629" s="26"/>
      <c r="G629" s="26"/>
      <c r="H629" s="26"/>
      <c r="I629" s="26"/>
      <c r="J629" s="26"/>
      <c r="K629" s="26"/>
      <c r="L629" s="26"/>
      <c r="M629" s="26"/>
      <c r="N629" s="26"/>
      <c r="O629" s="26"/>
      <c r="P629" s="26"/>
      <c r="Q629" s="26"/>
      <c r="R629" s="26"/>
      <c r="S629" s="26"/>
      <c r="T629" s="26"/>
      <c r="U629" s="26"/>
      <c r="V629" s="26"/>
      <c r="W629" s="26"/>
    </row>
    <row r="630" spans="1:23">
      <c r="A630" s="26"/>
      <c r="B630" s="26"/>
      <c r="C630" s="26"/>
      <c r="D630" s="26"/>
      <c r="E630" s="26"/>
      <c r="F630" s="26"/>
      <c r="G630" s="26"/>
      <c r="H630" s="26"/>
      <c r="I630" s="26"/>
      <c r="J630" s="26"/>
      <c r="K630" s="26"/>
      <c r="L630" s="26"/>
      <c r="M630" s="26"/>
      <c r="N630" s="26"/>
      <c r="O630" s="26"/>
      <c r="P630" s="26"/>
      <c r="Q630" s="26"/>
      <c r="R630" s="26"/>
      <c r="S630" s="26"/>
      <c r="T630" s="26"/>
      <c r="U630" s="26"/>
      <c r="V630" s="26"/>
      <c r="W630" s="26"/>
    </row>
    <row r="631" spans="1:23">
      <c r="A631" s="26"/>
      <c r="B631" s="26"/>
      <c r="C631" s="26"/>
      <c r="D631" s="26"/>
      <c r="E631" s="26"/>
      <c r="F631" s="26"/>
      <c r="G631" s="26"/>
      <c r="H631" s="26"/>
      <c r="I631" s="26"/>
      <c r="J631" s="26"/>
      <c r="K631" s="26"/>
      <c r="L631" s="26"/>
      <c r="M631" s="26"/>
      <c r="N631" s="26"/>
      <c r="O631" s="26"/>
      <c r="P631" s="26"/>
      <c r="Q631" s="26"/>
      <c r="R631" s="26"/>
      <c r="S631" s="26"/>
      <c r="T631" s="26"/>
      <c r="U631" s="26"/>
      <c r="V631" s="26"/>
      <c r="W631" s="26"/>
    </row>
    <row r="632" spans="1:23">
      <c r="A632" s="26"/>
      <c r="B632" s="26"/>
      <c r="C632" s="26"/>
      <c r="D632" s="26"/>
      <c r="E632" s="26"/>
      <c r="F632" s="26"/>
      <c r="G632" s="26"/>
      <c r="H632" s="26"/>
      <c r="I632" s="26"/>
      <c r="J632" s="26"/>
      <c r="K632" s="26"/>
      <c r="L632" s="26"/>
      <c r="M632" s="26"/>
      <c r="N632" s="26"/>
      <c r="O632" s="26"/>
      <c r="P632" s="26"/>
      <c r="Q632" s="26"/>
      <c r="R632" s="26"/>
      <c r="S632" s="26"/>
      <c r="T632" s="26"/>
      <c r="U632" s="26"/>
      <c r="V632" s="26"/>
      <c r="W632" s="26"/>
    </row>
    <row r="633" spans="1:23">
      <c r="A633" s="26"/>
      <c r="B633" s="26"/>
      <c r="C633" s="26"/>
      <c r="D633" s="26"/>
      <c r="E633" s="26"/>
      <c r="F633" s="26"/>
      <c r="G633" s="26"/>
      <c r="H633" s="26"/>
      <c r="I633" s="26"/>
      <c r="J633" s="26"/>
      <c r="K633" s="26"/>
      <c r="L633" s="26"/>
      <c r="M633" s="26"/>
      <c r="N633" s="26"/>
      <c r="O633" s="26"/>
      <c r="P633" s="26"/>
      <c r="Q633" s="26"/>
      <c r="R633" s="26"/>
      <c r="S633" s="26"/>
      <c r="T633" s="26"/>
      <c r="U633" s="26"/>
      <c r="V633" s="26"/>
      <c r="W633" s="26"/>
    </row>
    <row r="634" spans="1:23">
      <c r="A634" s="26"/>
      <c r="B634" s="26"/>
      <c r="C634" s="26"/>
      <c r="D634" s="26"/>
      <c r="E634" s="26"/>
      <c r="F634" s="26"/>
      <c r="G634" s="26"/>
      <c r="H634" s="26"/>
      <c r="I634" s="26"/>
      <c r="J634" s="26"/>
      <c r="K634" s="26"/>
      <c r="L634" s="26"/>
      <c r="M634" s="26"/>
      <c r="N634" s="26"/>
      <c r="O634" s="26"/>
      <c r="P634" s="26"/>
      <c r="Q634" s="26"/>
      <c r="R634" s="26"/>
      <c r="S634" s="26"/>
      <c r="T634" s="26"/>
      <c r="U634" s="26"/>
      <c r="V634" s="26"/>
      <c r="W634" s="26"/>
    </row>
    <row r="635" spans="1:23">
      <c r="A635" s="26"/>
      <c r="B635" s="26"/>
      <c r="C635" s="26"/>
      <c r="D635" s="26"/>
      <c r="E635" s="26"/>
      <c r="F635" s="26"/>
      <c r="G635" s="26"/>
      <c r="H635" s="26"/>
      <c r="I635" s="26"/>
      <c r="J635" s="26"/>
      <c r="K635" s="26"/>
      <c r="L635" s="26"/>
      <c r="M635" s="26"/>
      <c r="N635" s="26"/>
      <c r="O635" s="26"/>
      <c r="P635" s="26"/>
      <c r="Q635" s="26"/>
      <c r="R635" s="26"/>
      <c r="S635" s="26"/>
      <c r="T635" s="26"/>
      <c r="U635" s="26"/>
      <c r="V635" s="26"/>
      <c r="W635" s="26"/>
    </row>
    <row r="636" spans="1:23">
      <c r="A636" s="26"/>
      <c r="B636" s="26"/>
      <c r="C636" s="26"/>
      <c r="D636" s="26"/>
      <c r="E636" s="26"/>
      <c r="F636" s="26"/>
      <c r="G636" s="26"/>
      <c r="H636" s="26"/>
      <c r="I636" s="26"/>
      <c r="J636" s="26"/>
      <c r="K636" s="26"/>
      <c r="L636" s="26"/>
      <c r="M636" s="26"/>
      <c r="N636" s="26"/>
      <c r="O636" s="26"/>
      <c r="P636" s="26"/>
      <c r="Q636" s="26"/>
      <c r="R636" s="26"/>
      <c r="S636" s="26"/>
      <c r="T636" s="26"/>
      <c r="U636" s="26"/>
      <c r="V636" s="26"/>
      <c r="W636" s="26"/>
    </row>
    <row r="637" spans="1:23">
      <c r="A637" s="26"/>
      <c r="B637" s="26"/>
      <c r="C637" s="26"/>
      <c r="D637" s="26"/>
      <c r="E637" s="26"/>
      <c r="F637" s="26"/>
      <c r="G637" s="26"/>
      <c r="H637" s="26"/>
      <c r="I637" s="26"/>
      <c r="J637" s="26"/>
      <c r="K637" s="26"/>
      <c r="L637" s="26"/>
      <c r="M637" s="26"/>
      <c r="N637" s="26"/>
      <c r="O637" s="26"/>
      <c r="P637" s="26"/>
      <c r="Q637" s="26"/>
      <c r="R637" s="26"/>
      <c r="S637" s="26"/>
      <c r="T637" s="26"/>
      <c r="U637" s="26"/>
      <c r="V637" s="26"/>
      <c r="W637" s="26"/>
    </row>
    <row r="638" spans="1:23">
      <c r="A638" s="26"/>
      <c r="B638" s="26"/>
      <c r="C638" s="26"/>
      <c r="D638" s="26"/>
      <c r="E638" s="26"/>
      <c r="F638" s="26"/>
      <c r="G638" s="26"/>
      <c r="H638" s="26"/>
      <c r="I638" s="26"/>
      <c r="J638" s="26"/>
      <c r="K638" s="26"/>
      <c r="L638" s="26"/>
      <c r="M638" s="26"/>
      <c r="N638" s="26"/>
      <c r="O638" s="26"/>
      <c r="P638" s="26"/>
      <c r="Q638" s="26"/>
      <c r="R638" s="26"/>
      <c r="S638" s="26"/>
      <c r="T638" s="26"/>
      <c r="U638" s="26"/>
      <c r="V638" s="26"/>
      <c r="W638" s="26"/>
    </row>
    <row r="639" spans="1:23">
      <c r="A639" s="26"/>
      <c r="B639" s="26"/>
      <c r="C639" s="26"/>
      <c r="D639" s="26"/>
      <c r="E639" s="26"/>
      <c r="F639" s="26"/>
      <c r="G639" s="26"/>
      <c r="H639" s="26"/>
      <c r="I639" s="26"/>
      <c r="J639" s="26"/>
      <c r="K639" s="26"/>
      <c r="L639" s="26"/>
      <c r="M639" s="26"/>
      <c r="N639" s="26"/>
      <c r="O639" s="26"/>
      <c r="P639" s="26"/>
      <c r="Q639" s="26"/>
      <c r="R639" s="26"/>
      <c r="S639" s="26"/>
      <c r="T639" s="26"/>
      <c r="U639" s="26"/>
      <c r="V639" s="26"/>
      <c r="W639" s="26"/>
    </row>
    <row r="640" spans="1:23">
      <c r="A640" s="26"/>
      <c r="B640" s="26"/>
      <c r="C640" s="26"/>
      <c r="D640" s="26"/>
      <c r="E640" s="26"/>
      <c r="F640" s="26"/>
      <c r="G640" s="26"/>
      <c r="H640" s="26"/>
      <c r="I640" s="26"/>
      <c r="J640" s="26"/>
      <c r="K640" s="26"/>
      <c r="L640" s="26"/>
      <c r="M640" s="26"/>
      <c r="N640" s="26"/>
      <c r="O640" s="26"/>
      <c r="P640" s="26"/>
      <c r="Q640" s="26"/>
      <c r="R640" s="26"/>
      <c r="S640" s="26"/>
      <c r="T640" s="26"/>
      <c r="U640" s="26"/>
      <c r="V640" s="26"/>
      <c r="W640" s="26"/>
    </row>
    <row r="641" spans="1:23">
      <c r="A641" s="26"/>
      <c r="B641" s="26"/>
      <c r="C641" s="26"/>
      <c r="D641" s="26"/>
      <c r="E641" s="26"/>
      <c r="F641" s="26"/>
      <c r="G641" s="26"/>
      <c r="H641" s="26"/>
      <c r="I641" s="26"/>
      <c r="J641" s="26"/>
      <c r="K641" s="26"/>
      <c r="L641" s="26"/>
      <c r="M641" s="26"/>
      <c r="N641" s="26"/>
      <c r="O641" s="26"/>
      <c r="P641" s="26"/>
      <c r="Q641" s="26"/>
      <c r="R641" s="26"/>
      <c r="S641" s="26"/>
      <c r="T641" s="26"/>
      <c r="U641" s="26"/>
      <c r="V641" s="26"/>
      <c r="W641" s="26"/>
    </row>
    <row r="642" spans="1:23">
      <c r="A642" s="26"/>
      <c r="B642" s="26"/>
      <c r="C642" s="26"/>
      <c r="D642" s="26"/>
      <c r="E642" s="26"/>
      <c r="F642" s="26"/>
      <c r="G642" s="26"/>
      <c r="H642" s="26"/>
      <c r="I642" s="26"/>
      <c r="J642" s="26"/>
      <c r="K642" s="26"/>
      <c r="L642" s="26"/>
      <c r="M642" s="26"/>
      <c r="N642" s="26"/>
      <c r="O642" s="26"/>
      <c r="P642" s="26"/>
      <c r="Q642" s="26"/>
      <c r="R642" s="26"/>
      <c r="S642" s="26"/>
      <c r="T642" s="26"/>
      <c r="U642" s="26"/>
      <c r="V642" s="26"/>
      <c r="W642" s="26"/>
    </row>
    <row r="643" spans="1:23">
      <c r="A643" s="26"/>
      <c r="B643" s="26"/>
      <c r="C643" s="26"/>
      <c r="D643" s="26"/>
      <c r="E643" s="26"/>
      <c r="F643" s="26"/>
      <c r="G643" s="26"/>
      <c r="H643" s="26"/>
      <c r="I643" s="26"/>
      <c r="J643" s="26"/>
      <c r="K643" s="26"/>
      <c r="L643" s="26"/>
      <c r="M643" s="26"/>
      <c r="N643" s="26"/>
      <c r="O643" s="26"/>
      <c r="P643" s="26"/>
      <c r="Q643" s="26"/>
      <c r="R643" s="26"/>
      <c r="S643" s="26"/>
      <c r="T643" s="26"/>
      <c r="U643" s="26"/>
      <c r="V643" s="26"/>
      <c r="W643" s="26"/>
    </row>
    <row r="644" spans="1:23">
      <c r="A644" s="26"/>
      <c r="B644" s="26"/>
      <c r="C644" s="26"/>
      <c r="D644" s="26"/>
      <c r="E644" s="26"/>
      <c r="F644" s="26"/>
      <c r="G644" s="26"/>
      <c r="H644" s="26"/>
      <c r="I644" s="26"/>
      <c r="J644" s="26"/>
      <c r="K644" s="26"/>
      <c r="L644" s="26"/>
      <c r="M644" s="26"/>
      <c r="N644" s="26"/>
      <c r="O644" s="26"/>
      <c r="P644" s="26"/>
      <c r="Q644" s="26"/>
      <c r="R644" s="26"/>
      <c r="S644" s="26"/>
      <c r="T644" s="26"/>
      <c r="U644" s="26"/>
      <c r="V644" s="26"/>
      <c r="W644" s="26"/>
    </row>
    <row r="645" spans="1:23">
      <c r="A645" s="26"/>
      <c r="B645" s="26"/>
      <c r="C645" s="26"/>
      <c r="D645" s="26"/>
      <c r="E645" s="26"/>
      <c r="F645" s="26"/>
      <c r="G645" s="26"/>
      <c r="H645" s="26"/>
      <c r="I645" s="26"/>
      <c r="J645" s="26"/>
      <c r="K645" s="26"/>
      <c r="L645" s="26"/>
      <c r="M645" s="26"/>
      <c r="N645" s="26"/>
      <c r="O645" s="26"/>
      <c r="P645" s="26"/>
      <c r="Q645" s="26"/>
      <c r="R645" s="26"/>
      <c r="S645" s="26"/>
      <c r="T645" s="26"/>
      <c r="U645" s="26"/>
      <c r="V645" s="26"/>
      <c r="W645" s="26"/>
    </row>
    <row r="646" spans="1:23">
      <c r="A646" s="26"/>
      <c r="B646" s="26"/>
      <c r="C646" s="26"/>
      <c r="D646" s="26"/>
      <c r="E646" s="26"/>
      <c r="F646" s="26"/>
      <c r="G646" s="26"/>
      <c r="H646" s="26"/>
      <c r="I646" s="26"/>
      <c r="J646" s="26"/>
      <c r="K646" s="26"/>
      <c r="L646" s="26"/>
      <c r="M646" s="26"/>
      <c r="N646" s="26"/>
      <c r="O646" s="26"/>
      <c r="P646" s="26"/>
      <c r="Q646" s="26"/>
      <c r="R646" s="26"/>
      <c r="S646" s="26"/>
      <c r="T646" s="26"/>
      <c r="U646" s="26"/>
      <c r="V646" s="26"/>
      <c r="W646" s="26"/>
    </row>
    <row r="647" spans="1:23">
      <c r="A647" s="26"/>
      <c r="B647" s="26"/>
      <c r="C647" s="26"/>
      <c r="D647" s="26"/>
      <c r="E647" s="26"/>
      <c r="F647" s="26"/>
      <c r="G647" s="26"/>
      <c r="H647" s="26"/>
      <c r="I647" s="26"/>
      <c r="J647" s="26"/>
      <c r="K647" s="26"/>
      <c r="L647" s="26"/>
      <c r="M647" s="26"/>
      <c r="N647" s="26"/>
      <c r="O647" s="26"/>
      <c r="P647" s="26"/>
      <c r="Q647" s="26"/>
      <c r="R647" s="26"/>
      <c r="S647" s="26"/>
      <c r="T647" s="26"/>
      <c r="U647" s="26"/>
      <c r="V647" s="26"/>
      <c r="W647" s="26"/>
    </row>
    <row r="648" spans="1:23">
      <c r="A648" s="26"/>
      <c r="B648" s="26"/>
      <c r="C648" s="26"/>
      <c r="D648" s="26"/>
      <c r="E648" s="26"/>
      <c r="F648" s="26"/>
      <c r="G648" s="26"/>
      <c r="H648" s="26"/>
      <c r="I648" s="26"/>
      <c r="J648" s="26"/>
      <c r="K648" s="26"/>
      <c r="L648" s="26"/>
      <c r="M648" s="26"/>
      <c r="N648" s="26"/>
      <c r="O648" s="26"/>
      <c r="P648" s="26"/>
      <c r="Q648" s="26"/>
      <c r="R648" s="26"/>
      <c r="S648" s="26"/>
      <c r="T648" s="26"/>
      <c r="U648" s="26"/>
      <c r="V648" s="26"/>
      <c r="W648" s="26"/>
    </row>
    <row r="649" spans="1:23">
      <c r="A649" s="26"/>
      <c r="B649" s="26"/>
      <c r="C649" s="26"/>
      <c r="D649" s="26"/>
      <c r="E649" s="26"/>
      <c r="F649" s="26"/>
      <c r="G649" s="26"/>
      <c r="H649" s="26"/>
      <c r="I649" s="26"/>
      <c r="J649" s="26"/>
      <c r="K649" s="26"/>
      <c r="L649" s="26"/>
      <c r="M649" s="26"/>
      <c r="N649" s="26"/>
      <c r="O649" s="26"/>
      <c r="P649" s="26"/>
      <c r="Q649" s="26"/>
      <c r="R649" s="26"/>
      <c r="S649" s="26"/>
      <c r="T649" s="26"/>
      <c r="U649" s="26"/>
      <c r="V649" s="26"/>
      <c r="W649" s="26"/>
    </row>
    <row r="650" spans="1:23">
      <c r="A650" s="26"/>
      <c r="B650" s="26"/>
      <c r="C650" s="26"/>
      <c r="D650" s="26"/>
      <c r="E650" s="26"/>
      <c r="F650" s="26"/>
      <c r="G650" s="26"/>
      <c r="H650" s="26"/>
      <c r="I650" s="26"/>
      <c r="J650" s="26"/>
      <c r="K650" s="26"/>
      <c r="L650" s="26"/>
      <c r="M650" s="26"/>
      <c r="N650" s="26"/>
      <c r="O650" s="26"/>
      <c r="P650" s="26"/>
      <c r="Q650" s="26"/>
      <c r="R650" s="26"/>
      <c r="S650" s="26"/>
      <c r="T650" s="26"/>
      <c r="U650" s="26"/>
      <c r="V650" s="26"/>
      <c r="W650" s="26"/>
    </row>
    <row r="651" spans="1:23">
      <c r="A651" s="26"/>
      <c r="B651" s="26"/>
      <c r="C651" s="26"/>
      <c r="D651" s="26"/>
      <c r="E651" s="26"/>
      <c r="F651" s="26"/>
      <c r="G651" s="26"/>
      <c r="H651" s="26"/>
      <c r="I651" s="26"/>
      <c r="J651" s="26"/>
      <c r="K651" s="26"/>
      <c r="L651" s="26"/>
      <c r="M651" s="26"/>
      <c r="N651" s="26"/>
      <c r="O651" s="26"/>
      <c r="P651" s="26"/>
      <c r="Q651" s="26"/>
      <c r="R651" s="26"/>
      <c r="S651" s="26"/>
      <c r="T651" s="26"/>
      <c r="U651" s="26"/>
      <c r="V651" s="26"/>
      <c r="W651" s="26"/>
    </row>
    <row r="652" spans="1:23">
      <c r="A652" s="26"/>
      <c r="B652" s="26"/>
      <c r="C652" s="26"/>
      <c r="D652" s="26"/>
      <c r="E652" s="26"/>
      <c r="F652" s="26"/>
      <c r="G652" s="26"/>
      <c r="H652" s="26"/>
      <c r="I652" s="26"/>
      <c r="J652" s="26"/>
      <c r="K652" s="26"/>
      <c r="L652" s="26"/>
      <c r="M652" s="26"/>
      <c r="N652" s="26"/>
      <c r="O652" s="26"/>
      <c r="P652" s="26"/>
      <c r="Q652" s="26"/>
      <c r="R652" s="26"/>
      <c r="S652" s="26"/>
      <c r="T652" s="26"/>
      <c r="U652" s="26"/>
      <c r="V652" s="26"/>
      <c r="W652" s="26"/>
    </row>
    <row r="653" spans="1:23">
      <c r="A653" s="26"/>
      <c r="B653" s="26"/>
      <c r="C653" s="26"/>
      <c r="D653" s="26"/>
      <c r="E653" s="26"/>
      <c r="F653" s="26"/>
      <c r="G653" s="26"/>
      <c r="H653" s="26"/>
      <c r="I653" s="26"/>
      <c r="J653" s="26"/>
      <c r="K653" s="26"/>
      <c r="L653" s="26"/>
      <c r="M653" s="26"/>
      <c r="N653" s="26"/>
      <c r="O653" s="26"/>
      <c r="P653" s="26"/>
      <c r="Q653" s="26"/>
      <c r="R653" s="26"/>
      <c r="S653" s="26"/>
      <c r="T653" s="26"/>
      <c r="U653" s="26"/>
      <c r="V653" s="26"/>
      <c r="W653" s="26"/>
    </row>
    <row r="654" spans="1:23">
      <c r="A654" s="26"/>
      <c r="B654" s="26"/>
      <c r="C654" s="26"/>
      <c r="D654" s="26"/>
      <c r="E654" s="26"/>
      <c r="F654" s="26"/>
      <c r="G654" s="26"/>
      <c r="H654" s="26"/>
      <c r="I654" s="26"/>
      <c r="J654" s="26"/>
      <c r="K654" s="26"/>
      <c r="L654" s="26"/>
      <c r="M654" s="26"/>
      <c r="N654" s="26"/>
      <c r="O654" s="26"/>
      <c r="P654" s="26"/>
      <c r="Q654" s="26"/>
      <c r="R654" s="26"/>
      <c r="S654" s="26"/>
      <c r="T654" s="26"/>
      <c r="U654" s="26"/>
      <c r="V654" s="26"/>
      <c r="W654" s="26"/>
    </row>
    <row r="655" spans="1:23">
      <c r="A655" s="26"/>
      <c r="B655" s="26"/>
      <c r="C655" s="26"/>
      <c r="D655" s="26"/>
      <c r="E655" s="26"/>
      <c r="F655" s="26"/>
      <c r="G655" s="26"/>
      <c r="H655" s="26"/>
      <c r="I655" s="26"/>
      <c r="J655" s="26"/>
      <c r="K655" s="26"/>
      <c r="L655" s="26"/>
      <c r="M655" s="26"/>
      <c r="N655" s="26"/>
      <c r="O655" s="26"/>
      <c r="P655" s="26"/>
      <c r="Q655" s="26"/>
      <c r="R655" s="26"/>
      <c r="S655" s="26"/>
      <c r="T655" s="26"/>
      <c r="U655" s="26"/>
      <c r="V655" s="26"/>
      <c r="W655" s="26"/>
    </row>
    <row r="656" spans="1:23">
      <c r="A656" s="26"/>
      <c r="B656" s="26"/>
      <c r="C656" s="26"/>
      <c r="D656" s="26"/>
      <c r="E656" s="26"/>
      <c r="F656" s="26"/>
      <c r="G656" s="26"/>
      <c r="H656" s="26"/>
      <c r="I656" s="26"/>
      <c r="J656" s="26"/>
      <c r="K656" s="26"/>
      <c r="L656" s="26"/>
      <c r="M656" s="26"/>
      <c r="N656" s="26"/>
      <c r="O656" s="26"/>
      <c r="P656" s="26"/>
      <c r="Q656" s="26"/>
      <c r="R656" s="26"/>
      <c r="S656" s="26"/>
      <c r="T656" s="26"/>
      <c r="U656" s="26"/>
      <c r="V656" s="26"/>
      <c r="W656" s="26"/>
    </row>
    <row r="657" spans="1:23">
      <c r="A657" s="26"/>
      <c r="B657" s="26"/>
      <c r="C657" s="26"/>
      <c r="D657" s="26"/>
      <c r="E657" s="26"/>
      <c r="F657" s="26"/>
      <c r="G657" s="26"/>
      <c r="H657" s="26"/>
      <c r="I657" s="26"/>
      <c r="J657" s="26"/>
      <c r="K657" s="26"/>
      <c r="L657" s="26"/>
      <c r="M657" s="26"/>
      <c r="N657" s="26"/>
      <c r="O657" s="26"/>
      <c r="P657" s="26"/>
      <c r="Q657" s="26"/>
      <c r="R657" s="26"/>
      <c r="S657" s="26"/>
      <c r="T657" s="26"/>
      <c r="U657" s="26"/>
      <c r="V657" s="26"/>
      <c r="W657" s="26"/>
    </row>
    <row r="658" spans="1:23">
      <c r="A658" s="26"/>
      <c r="B658" s="26"/>
      <c r="C658" s="26"/>
      <c r="D658" s="26"/>
      <c r="E658" s="26"/>
      <c r="F658" s="26"/>
      <c r="G658" s="26"/>
      <c r="H658" s="26"/>
      <c r="I658" s="26"/>
      <c r="J658" s="26"/>
      <c r="K658" s="26"/>
      <c r="L658" s="26"/>
      <c r="M658" s="26"/>
      <c r="N658" s="26"/>
      <c r="O658" s="26"/>
      <c r="P658" s="26"/>
      <c r="Q658" s="26"/>
      <c r="R658" s="26"/>
      <c r="S658" s="26"/>
      <c r="T658" s="26"/>
      <c r="U658" s="26"/>
      <c r="V658" s="26"/>
      <c r="W658" s="26"/>
    </row>
    <row r="659" spans="1:23">
      <c r="A659" s="26"/>
      <c r="B659" s="26"/>
      <c r="C659" s="26"/>
      <c r="D659" s="26"/>
      <c r="E659" s="26"/>
      <c r="F659" s="26"/>
      <c r="G659" s="26"/>
      <c r="H659" s="26"/>
      <c r="I659" s="26"/>
      <c r="J659" s="26"/>
      <c r="K659" s="26"/>
      <c r="L659" s="26"/>
      <c r="M659" s="26"/>
      <c r="N659" s="26"/>
      <c r="O659" s="26"/>
      <c r="P659" s="26"/>
      <c r="Q659" s="26"/>
      <c r="R659" s="26"/>
      <c r="S659" s="26"/>
      <c r="T659" s="26"/>
      <c r="U659" s="26"/>
      <c r="V659" s="26"/>
      <c r="W659" s="26"/>
    </row>
    <row r="660" spans="1:23">
      <c r="A660" s="26"/>
      <c r="B660" s="26"/>
      <c r="C660" s="26"/>
      <c r="D660" s="26"/>
      <c r="E660" s="26"/>
      <c r="F660" s="26"/>
      <c r="G660" s="26"/>
      <c r="H660" s="26"/>
      <c r="I660" s="26"/>
      <c r="J660" s="26"/>
      <c r="K660" s="26"/>
      <c r="L660" s="26"/>
      <c r="M660" s="26"/>
      <c r="N660" s="26"/>
      <c r="O660" s="26"/>
      <c r="P660" s="26"/>
      <c r="Q660" s="26"/>
      <c r="R660" s="26"/>
      <c r="S660" s="26"/>
      <c r="T660" s="26"/>
      <c r="U660" s="26"/>
      <c r="V660" s="26"/>
      <c r="W660" s="26"/>
    </row>
    <row r="661" spans="1:23">
      <c r="A661" s="26"/>
      <c r="B661" s="26"/>
      <c r="C661" s="26"/>
      <c r="D661" s="26"/>
      <c r="E661" s="26"/>
      <c r="F661" s="26"/>
      <c r="G661" s="26"/>
      <c r="H661" s="26"/>
      <c r="I661" s="26"/>
      <c r="J661" s="26"/>
      <c r="K661" s="26"/>
      <c r="L661" s="26"/>
      <c r="M661" s="26"/>
      <c r="N661" s="26"/>
      <c r="O661" s="26"/>
      <c r="P661" s="26"/>
      <c r="Q661" s="26"/>
      <c r="R661" s="26"/>
      <c r="S661" s="26"/>
      <c r="T661" s="26"/>
      <c r="U661" s="26"/>
      <c r="V661" s="26"/>
      <c r="W661" s="26"/>
    </row>
    <row r="662" spans="1:23">
      <c r="A662" s="26"/>
      <c r="B662" s="26"/>
      <c r="C662" s="26"/>
      <c r="D662" s="26"/>
      <c r="E662" s="26"/>
      <c r="F662" s="26"/>
      <c r="G662" s="26"/>
      <c r="H662" s="26"/>
      <c r="I662" s="26"/>
      <c r="J662" s="26"/>
      <c r="K662" s="26"/>
      <c r="L662" s="26"/>
      <c r="M662" s="26"/>
      <c r="N662" s="26"/>
      <c r="O662" s="26"/>
      <c r="P662" s="26"/>
      <c r="Q662" s="26"/>
      <c r="R662" s="26"/>
      <c r="S662" s="26"/>
      <c r="T662" s="26"/>
      <c r="U662" s="26"/>
      <c r="V662" s="26"/>
      <c r="W662" s="26"/>
    </row>
    <row r="663" spans="1:23">
      <c r="A663" s="26"/>
      <c r="B663" s="26"/>
      <c r="C663" s="26"/>
      <c r="D663" s="26"/>
      <c r="E663" s="26"/>
      <c r="F663" s="26"/>
      <c r="G663" s="26"/>
      <c r="H663" s="26"/>
      <c r="I663" s="26"/>
      <c r="J663" s="26"/>
      <c r="K663" s="26"/>
      <c r="L663" s="26"/>
      <c r="M663" s="26"/>
      <c r="N663" s="26"/>
      <c r="O663" s="26"/>
      <c r="P663" s="26"/>
      <c r="Q663" s="26"/>
      <c r="R663" s="26"/>
      <c r="S663" s="26"/>
      <c r="T663" s="26"/>
      <c r="U663" s="26"/>
      <c r="V663" s="26"/>
      <c r="W663" s="26"/>
    </row>
    <row r="664" spans="1:23">
      <c r="A664" s="26"/>
      <c r="B664" s="26"/>
      <c r="C664" s="26"/>
      <c r="D664" s="26"/>
      <c r="E664" s="26"/>
      <c r="F664" s="26"/>
      <c r="G664" s="26"/>
      <c r="H664" s="26"/>
      <c r="I664" s="26"/>
      <c r="J664" s="26"/>
      <c r="K664" s="26"/>
      <c r="L664" s="26"/>
      <c r="M664" s="26"/>
      <c r="N664" s="26"/>
      <c r="O664" s="26"/>
      <c r="P664" s="26"/>
      <c r="Q664" s="26"/>
      <c r="R664" s="26"/>
      <c r="S664" s="26"/>
      <c r="T664" s="26"/>
      <c r="U664" s="26"/>
      <c r="V664" s="26"/>
      <c r="W664" s="26"/>
    </row>
    <row r="665" spans="1:23">
      <c r="A665" s="26"/>
      <c r="B665" s="26"/>
      <c r="C665" s="26"/>
      <c r="D665" s="26"/>
      <c r="E665" s="26"/>
      <c r="F665" s="26"/>
      <c r="G665" s="26"/>
      <c r="H665" s="26"/>
      <c r="I665" s="26"/>
      <c r="J665" s="26"/>
      <c r="K665" s="26"/>
      <c r="L665" s="26"/>
      <c r="M665" s="26"/>
      <c r="N665" s="26"/>
      <c r="O665" s="26"/>
      <c r="P665" s="26"/>
      <c r="Q665" s="26"/>
      <c r="R665" s="26"/>
      <c r="S665" s="26"/>
      <c r="T665" s="26"/>
      <c r="U665" s="26"/>
      <c r="V665" s="26"/>
      <c r="W665" s="26"/>
    </row>
    <row r="666" spans="1:23">
      <c r="A666" s="26"/>
      <c r="B666" s="26"/>
      <c r="C666" s="26"/>
      <c r="D666" s="26"/>
      <c r="E666" s="26"/>
      <c r="F666" s="26"/>
      <c r="G666" s="26"/>
      <c r="H666" s="26"/>
      <c r="I666" s="26"/>
      <c r="J666" s="26"/>
      <c r="K666" s="26"/>
      <c r="L666" s="26"/>
      <c r="M666" s="26"/>
      <c r="N666" s="26"/>
      <c r="O666" s="26"/>
      <c r="P666" s="26"/>
      <c r="Q666" s="26"/>
      <c r="R666" s="26"/>
      <c r="S666" s="26"/>
      <c r="T666" s="26"/>
      <c r="U666" s="26"/>
      <c r="V666" s="26"/>
      <c r="W666" s="26"/>
    </row>
    <row r="667" spans="1:23">
      <c r="A667" s="26"/>
      <c r="B667" s="26"/>
      <c r="C667" s="26"/>
      <c r="D667" s="26"/>
      <c r="E667" s="26"/>
      <c r="F667" s="26"/>
      <c r="G667" s="26"/>
      <c r="H667" s="26"/>
      <c r="I667" s="26"/>
      <c r="J667" s="26"/>
      <c r="K667" s="26"/>
      <c r="L667" s="26"/>
      <c r="M667" s="26"/>
      <c r="N667" s="26"/>
      <c r="O667" s="26"/>
      <c r="P667" s="26"/>
      <c r="Q667" s="26"/>
      <c r="R667" s="26"/>
      <c r="S667" s="26"/>
      <c r="T667" s="26"/>
      <c r="U667" s="26"/>
      <c r="V667" s="26"/>
      <c r="W667" s="26"/>
    </row>
    <row r="668" spans="1:23">
      <c r="A668" s="26"/>
      <c r="B668" s="26"/>
      <c r="C668" s="26"/>
      <c r="D668" s="26"/>
      <c r="E668" s="26"/>
      <c r="F668" s="26"/>
      <c r="G668" s="26"/>
      <c r="H668" s="26"/>
      <c r="I668" s="26"/>
      <c r="J668" s="26"/>
      <c r="K668" s="26"/>
      <c r="L668" s="26"/>
      <c r="M668" s="26"/>
      <c r="N668" s="26"/>
      <c r="O668" s="26"/>
      <c r="P668" s="26"/>
      <c r="Q668" s="26"/>
      <c r="R668" s="26"/>
      <c r="S668" s="26"/>
      <c r="T668" s="26"/>
      <c r="U668" s="26"/>
      <c r="V668" s="26"/>
      <c r="W668" s="26"/>
    </row>
    <row r="669" spans="1:23">
      <c r="A669" s="26"/>
      <c r="B669" s="26"/>
      <c r="C669" s="26"/>
      <c r="D669" s="26"/>
      <c r="E669" s="26"/>
      <c r="F669" s="26"/>
      <c r="G669" s="26"/>
      <c r="H669" s="26"/>
      <c r="I669" s="26"/>
      <c r="J669" s="26"/>
      <c r="K669" s="26"/>
      <c r="L669" s="26"/>
      <c r="M669" s="26"/>
      <c r="N669" s="26"/>
      <c r="O669" s="26"/>
      <c r="P669" s="26"/>
      <c r="Q669" s="26"/>
      <c r="R669" s="26"/>
      <c r="S669" s="26"/>
      <c r="T669" s="26"/>
      <c r="U669" s="26"/>
      <c r="V669" s="26"/>
      <c r="W669" s="26"/>
    </row>
    <row r="670" spans="1:23">
      <c r="A670" s="26"/>
      <c r="B670" s="26"/>
      <c r="C670" s="26"/>
      <c r="D670" s="26"/>
      <c r="E670" s="26"/>
      <c r="F670" s="26"/>
      <c r="G670" s="26"/>
      <c r="H670" s="26"/>
      <c r="I670" s="26"/>
      <c r="J670" s="26"/>
      <c r="K670" s="26"/>
      <c r="L670" s="26"/>
      <c r="M670" s="26"/>
      <c r="N670" s="26"/>
      <c r="O670" s="26"/>
      <c r="P670" s="26"/>
      <c r="Q670" s="26"/>
      <c r="R670" s="26"/>
      <c r="S670" s="26"/>
      <c r="T670" s="26"/>
      <c r="U670" s="26"/>
      <c r="V670" s="26"/>
      <c r="W670" s="26"/>
    </row>
    <row r="671" spans="1:23">
      <c r="A671" s="26"/>
      <c r="B671" s="26"/>
      <c r="C671" s="26"/>
      <c r="D671" s="26"/>
      <c r="E671" s="26"/>
      <c r="F671" s="26"/>
      <c r="G671" s="26"/>
      <c r="H671" s="26"/>
      <c r="I671" s="26"/>
      <c r="J671" s="26"/>
      <c r="K671" s="26"/>
      <c r="L671" s="26"/>
      <c r="M671" s="26"/>
      <c r="N671" s="26"/>
      <c r="O671" s="26"/>
      <c r="P671" s="26"/>
      <c r="Q671" s="26"/>
      <c r="R671" s="26"/>
      <c r="S671" s="26"/>
      <c r="T671" s="26"/>
      <c r="U671" s="26"/>
      <c r="V671" s="26"/>
      <c r="W671" s="26"/>
    </row>
    <row r="672" spans="1:23">
      <c r="A672" s="26"/>
      <c r="B672" s="26"/>
      <c r="C672" s="26"/>
      <c r="D672" s="26"/>
      <c r="E672" s="26"/>
      <c r="F672" s="26"/>
      <c r="G672" s="26"/>
      <c r="H672" s="26"/>
      <c r="I672" s="26"/>
      <c r="J672" s="26"/>
      <c r="K672" s="26"/>
      <c r="L672" s="26"/>
      <c r="M672" s="26"/>
      <c r="N672" s="26"/>
      <c r="O672" s="26"/>
      <c r="P672" s="26"/>
      <c r="Q672" s="26"/>
      <c r="R672" s="26"/>
      <c r="S672" s="26"/>
      <c r="T672" s="26"/>
      <c r="U672" s="26"/>
      <c r="V672" s="26"/>
      <c r="W672" s="26"/>
    </row>
    <row r="673" spans="1:23">
      <c r="A673" s="26"/>
      <c r="B673" s="26"/>
      <c r="C673" s="26"/>
      <c r="D673" s="26"/>
      <c r="E673" s="26"/>
      <c r="F673" s="26"/>
      <c r="G673" s="26"/>
      <c r="H673" s="26"/>
      <c r="I673" s="26"/>
      <c r="J673" s="26"/>
      <c r="K673" s="26"/>
      <c r="L673" s="26"/>
      <c r="M673" s="26"/>
      <c r="N673" s="26"/>
      <c r="O673" s="26"/>
      <c r="P673" s="26"/>
      <c r="Q673" s="26"/>
      <c r="R673" s="26"/>
      <c r="S673" s="26"/>
      <c r="T673" s="26"/>
      <c r="U673" s="26"/>
      <c r="V673" s="26"/>
      <c r="W673" s="26"/>
    </row>
    <row r="674" spans="1:23">
      <c r="A674" s="26"/>
      <c r="B674" s="26"/>
      <c r="C674" s="26"/>
      <c r="D674" s="26"/>
      <c r="E674" s="26"/>
      <c r="F674" s="26"/>
      <c r="G674" s="26"/>
      <c r="H674" s="26"/>
      <c r="I674" s="26"/>
      <c r="J674" s="26"/>
      <c r="K674" s="26"/>
      <c r="L674" s="26"/>
      <c r="M674" s="26"/>
      <c r="N674" s="26"/>
      <c r="O674" s="26"/>
      <c r="P674" s="26"/>
      <c r="Q674" s="26"/>
      <c r="R674" s="26"/>
      <c r="S674" s="26"/>
      <c r="T674" s="26"/>
      <c r="U674" s="26"/>
      <c r="V674" s="26"/>
      <c r="W674" s="26"/>
    </row>
    <row r="675" spans="1:23">
      <c r="A675" s="26"/>
      <c r="B675" s="26"/>
      <c r="C675" s="26"/>
      <c r="D675" s="26"/>
      <c r="E675" s="26"/>
      <c r="F675" s="26"/>
      <c r="G675" s="26"/>
      <c r="H675" s="26"/>
      <c r="I675" s="26"/>
      <c r="J675" s="26"/>
      <c r="K675" s="26"/>
      <c r="L675" s="26"/>
      <c r="M675" s="26"/>
      <c r="N675" s="26"/>
      <c r="O675" s="26"/>
      <c r="P675" s="26"/>
      <c r="Q675" s="26"/>
      <c r="R675" s="26"/>
      <c r="S675" s="26"/>
      <c r="T675" s="26"/>
      <c r="U675" s="26"/>
      <c r="V675" s="26"/>
      <c r="W675" s="26"/>
    </row>
    <row r="676" spans="1:23">
      <c r="A676" s="26"/>
      <c r="B676" s="26"/>
      <c r="C676" s="26"/>
      <c r="D676" s="26"/>
      <c r="E676" s="26"/>
      <c r="F676" s="26"/>
      <c r="G676" s="26"/>
      <c r="H676" s="26"/>
      <c r="I676" s="26"/>
      <c r="J676" s="26"/>
      <c r="K676" s="26"/>
      <c r="L676" s="26"/>
      <c r="M676" s="26"/>
      <c r="N676" s="26"/>
      <c r="O676" s="26"/>
      <c r="P676" s="26"/>
      <c r="Q676" s="26"/>
      <c r="R676" s="26"/>
      <c r="S676" s="26"/>
      <c r="T676" s="26"/>
      <c r="U676" s="26"/>
      <c r="V676" s="26"/>
      <c r="W676" s="26"/>
    </row>
    <row r="677" spans="1:23">
      <c r="A677" s="26"/>
      <c r="B677" s="26"/>
      <c r="C677" s="26"/>
      <c r="D677" s="26"/>
      <c r="E677" s="26"/>
      <c r="F677" s="26"/>
      <c r="G677" s="26"/>
      <c r="H677" s="26"/>
      <c r="I677" s="26"/>
      <c r="J677" s="26"/>
      <c r="K677" s="26"/>
      <c r="L677" s="26"/>
      <c r="M677" s="26"/>
      <c r="N677" s="26"/>
      <c r="O677" s="26"/>
      <c r="P677" s="26"/>
      <c r="Q677" s="26"/>
      <c r="R677" s="26"/>
      <c r="S677" s="26"/>
      <c r="T677" s="26"/>
      <c r="U677" s="26"/>
      <c r="V677" s="26"/>
      <c r="W677" s="26"/>
    </row>
    <row r="678" spans="1:23">
      <c r="A678" s="26"/>
      <c r="B678" s="26"/>
      <c r="C678" s="26"/>
      <c r="D678" s="26"/>
      <c r="E678" s="26"/>
      <c r="F678" s="26"/>
      <c r="G678" s="26"/>
      <c r="H678" s="26"/>
      <c r="I678" s="26"/>
      <c r="J678" s="26"/>
      <c r="K678" s="26"/>
      <c r="L678" s="26"/>
      <c r="M678" s="26"/>
      <c r="N678" s="26"/>
      <c r="O678" s="26"/>
      <c r="P678" s="26"/>
      <c r="Q678" s="26"/>
      <c r="R678" s="26"/>
      <c r="S678" s="26"/>
      <c r="T678" s="26"/>
      <c r="U678" s="26"/>
      <c r="V678" s="26"/>
      <c r="W678" s="26"/>
    </row>
    <row r="679" spans="1:23">
      <c r="A679" s="26"/>
      <c r="B679" s="26"/>
      <c r="C679" s="26"/>
      <c r="D679" s="26"/>
      <c r="E679" s="26"/>
      <c r="F679" s="26"/>
      <c r="G679" s="26"/>
      <c r="H679" s="26"/>
      <c r="I679" s="26"/>
      <c r="J679" s="26"/>
      <c r="K679" s="26"/>
      <c r="L679" s="26"/>
      <c r="M679" s="26"/>
      <c r="N679" s="26"/>
      <c r="O679" s="26"/>
      <c r="P679" s="26"/>
      <c r="Q679" s="26"/>
      <c r="R679" s="26"/>
      <c r="S679" s="26"/>
      <c r="T679" s="26"/>
      <c r="U679" s="26"/>
      <c r="V679" s="26"/>
      <c r="W679" s="26"/>
    </row>
    <row r="680" spans="1:23">
      <c r="A680" s="26"/>
      <c r="B680" s="26"/>
      <c r="C680" s="26"/>
      <c r="D680" s="26"/>
      <c r="E680" s="26"/>
      <c r="F680" s="26"/>
      <c r="G680" s="26"/>
      <c r="H680" s="26"/>
      <c r="I680" s="26"/>
      <c r="J680" s="26"/>
      <c r="K680" s="26"/>
      <c r="L680" s="26"/>
      <c r="M680" s="26"/>
      <c r="N680" s="26"/>
      <c r="O680" s="26"/>
      <c r="P680" s="26"/>
      <c r="Q680" s="26"/>
      <c r="R680" s="26"/>
      <c r="S680" s="26"/>
      <c r="T680" s="26"/>
      <c r="U680" s="26"/>
      <c r="V680" s="26"/>
      <c r="W680" s="26"/>
    </row>
    <row r="681" spans="1:23">
      <c r="A681" s="26"/>
      <c r="B681" s="26"/>
      <c r="C681" s="26"/>
      <c r="D681" s="26"/>
      <c r="E681" s="26"/>
      <c r="F681" s="26"/>
      <c r="G681" s="26"/>
      <c r="H681" s="26"/>
      <c r="I681" s="26"/>
      <c r="J681" s="26"/>
      <c r="K681" s="26"/>
      <c r="L681" s="26"/>
      <c r="M681" s="26"/>
      <c r="N681" s="26"/>
      <c r="O681" s="26"/>
      <c r="P681" s="26"/>
      <c r="Q681" s="26"/>
      <c r="R681" s="26"/>
      <c r="S681" s="26"/>
      <c r="T681" s="26"/>
      <c r="U681" s="26"/>
      <c r="V681" s="26"/>
      <c r="W681" s="26"/>
    </row>
    <row r="682" spans="1:23">
      <c r="A682" s="26"/>
      <c r="B682" s="26"/>
      <c r="C682" s="26"/>
      <c r="D682" s="26"/>
      <c r="E682" s="26"/>
      <c r="F682" s="26"/>
      <c r="G682" s="26"/>
      <c r="H682" s="26"/>
      <c r="I682" s="26"/>
      <c r="J682" s="26"/>
      <c r="K682" s="26"/>
      <c r="L682" s="26"/>
      <c r="M682" s="26"/>
      <c r="N682" s="26"/>
      <c r="O682" s="26"/>
      <c r="P682" s="26"/>
      <c r="Q682" s="26"/>
      <c r="R682" s="26"/>
      <c r="S682" s="26"/>
      <c r="T682" s="26"/>
      <c r="U682" s="26"/>
      <c r="V682" s="26"/>
      <c r="W682" s="26"/>
    </row>
    <row r="683" spans="1:23">
      <c r="A683" s="26"/>
      <c r="B683" s="26"/>
      <c r="C683" s="26"/>
      <c r="D683" s="26"/>
      <c r="E683" s="26"/>
      <c r="F683" s="26"/>
      <c r="G683" s="26"/>
      <c r="H683" s="26"/>
      <c r="I683" s="26"/>
      <c r="J683" s="26"/>
      <c r="K683" s="26"/>
      <c r="L683" s="26"/>
      <c r="M683" s="26"/>
      <c r="N683" s="26"/>
      <c r="O683" s="26"/>
      <c r="P683" s="26"/>
      <c r="Q683" s="26"/>
      <c r="R683" s="26"/>
      <c r="S683" s="26"/>
      <c r="T683" s="26"/>
      <c r="U683" s="26"/>
      <c r="V683" s="26"/>
      <c r="W683" s="26"/>
    </row>
    <row r="684" spans="1:23">
      <c r="A684" s="26"/>
      <c r="B684" s="26"/>
      <c r="C684" s="26"/>
      <c r="D684" s="26"/>
      <c r="E684" s="26"/>
      <c r="F684" s="26"/>
      <c r="G684" s="26"/>
      <c r="H684" s="26"/>
      <c r="I684" s="26"/>
      <c r="J684" s="26"/>
      <c r="K684" s="26"/>
      <c r="L684" s="26"/>
      <c r="M684" s="26"/>
      <c r="N684" s="26"/>
      <c r="O684" s="26"/>
      <c r="P684" s="26"/>
      <c r="Q684" s="26"/>
      <c r="R684" s="26"/>
      <c r="S684" s="26"/>
      <c r="T684" s="26"/>
      <c r="U684" s="26"/>
      <c r="V684" s="26"/>
      <c r="W684" s="26"/>
    </row>
    <row r="685" spans="1:23">
      <c r="A685" s="26"/>
      <c r="B685" s="26"/>
      <c r="C685" s="26"/>
      <c r="D685" s="26"/>
      <c r="E685" s="26"/>
      <c r="F685" s="26"/>
      <c r="G685" s="26"/>
      <c r="H685" s="26"/>
      <c r="I685" s="26"/>
      <c r="J685" s="26"/>
      <c r="K685" s="26"/>
      <c r="L685" s="26"/>
      <c r="M685" s="26"/>
      <c r="N685" s="26"/>
      <c r="O685" s="26"/>
      <c r="P685" s="26"/>
      <c r="Q685" s="26"/>
      <c r="R685" s="26"/>
      <c r="S685" s="26"/>
      <c r="T685" s="26"/>
      <c r="U685" s="26"/>
      <c r="V685" s="26"/>
      <c r="W685" s="26"/>
    </row>
    <row r="686" spans="1:23">
      <c r="A686" s="26"/>
      <c r="B686" s="26"/>
      <c r="C686" s="26"/>
      <c r="D686" s="26"/>
      <c r="E686" s="26"/>
      <c r="F686" s="26"/>
      <c r="G686" s="26"/>
      <c r="H686" s="26"/>
      <c r="I686" s="26"/>
      <c r="J686" s="26"/>
      <c r="K686" s="26"/>
      <c r="L686" s="26"/>
      <c r="M686" s="26"/>
      <c r="N686" s="26"/>
      <c r="O686" s="26"/>
      <c r="P686" s="26"/>
      <c r="Q686" s="26"/>
      <c r="R686" s="26"/>
      <c r="S686" s="26"/>
      <c r="T686" s="26"/>
      <c r="U686" s="26"/>
      <c r="V686" s="26"/>
      <c r="W686" s="26"/>
    </row>
    <row r="687" spans="1:23">
      <c r="A687" s="26"/>
      <c r="B687" s="26"/>
      <c r="C687" s="26"/>
      <c r="D687" s="26"/>
      <c r="E687" s="26"/>
      <c r="F687" s="26"/>
      <c r="G687" s="26"/>
      <c r="H687" s="26"/>
      <c r="I687" s="26"/>
      <c r="J687" s="26"/>
      <c r="K687" s="26"/>
      <c r="L687" s="26"/>
      <c r="M687" s="26"/>
      <c r="N687" s="26"/>
      <c r="O687" s="26"/>
      <c r="P687" s="26"/>
      <c r="Q687" s="26"/>
      <c r="R687" s="26"/>
      <c r="S687" s="26"/>
      <c r="T687" s="26"/>
      <c r="U687" s="26"/>
      <c r="V687" s="26"/>
      <c r="W687" s="26"/>
    </row>
    <row r="688" spans="1:23">
      <c r="A688" s="26"/>
      <c r="B688" s="26"/>
      <c r="C688" s="26"/>
      <c r="D688" s="26"/>
      <c r="E688" s="26"/>
      <c r="F688" s="26"/>
      <c r="G688" s="26"/>
      <c r="H688" s="26"/>
      <c r="I688" s="26"/>
      <c r="J688" s="26"/>
      <c r="K688" s="26"/>
      <c r="L688" s="26"/>
      <c r="M688" s="26"/>
      <c r="N688" s="26"/>
      <c r="O688" s="26"/>
      <c r="P688" s="26"/>
      <c r="Q688" s="26"/>
      <c r="R688" s="26"/>
      <c r="S688" s="26"/>
      <c r="T688" s="26"/>
      <c r="U688" s="26"/>
      <c r="V688" s="26"/>
      <c r="W688" s="26"/>
    </row>
    <row r="689" spans="1:23">
      <c r="A689" s="26"/>
      <c r="B689" s="26"/>
      <c r="C689" s="26"/>
      <c r="D689" s="26"/>
      <c r="E689" s="26"/>
      <c r="F689" s="26"/>
      <c r="G689" s="26"/>
      <c r="H689" s="26"/>
      <c r="I689" s="26"/>
      <c r="J689" s="26"/>
      <c r="K689" s="26"/>
      <c r="L689" s="26"/>
      <c r="M689" s="26"/>
      <c r="N689" s="26"/>
      <c r="O689" s="26"/>
      <c r="P689" s="26"/>
      <c r="Q689" s="26"/>
      <c r="R689" s="26"/>
      <c r="S689" s="26"/>
      <c r="T689" s="26"/>
      <c r="U689" s="26"/>
      <c r="V689" s="26"/>
      <c r="W689" s="26"/>
    </row>
    <row r="690" spans="1:23">
      <c r="A690" s="26"/>
      <c r="B690" s="26"/>
      <c r="C690" s="26"/>
      <c r="D690" s="26"/>
      <c r="E690" s="26"/>
      <c r="F690" s="26"/>
      <c r="G690" s="26"/>
      <c r="H690" s="26"/>
      <c r="I690" s="26"/>
      <c r="J690" s="26"/>
      <c r="K690" s="26"/>
      <c r="L690" s="26"/>
      <c r="M690" s="26"/>
      <c r="N690" s="26"/>
      <c r="O690" s="26"/>
      <c r="P690" s="26"/>
      <c r="Q690" s="26"/>
      <c r="R690" s="26"/>
      <c r="S690" s="26"/>
      <c r="T690" s="26"/>
      <c r="U690" s="26"/>
      <c r="V690" s="26"/>
      <c r="W690" s="26"/>
    </row>
    <row r="691" spans="1:23">
      <c r="A691" s="26"/>
      <c r="B691" s="26"/>
      <c r="C691" s="26"/>
      <c r="D691" s="26"/>
      <c r="E691" s="26"/>
      <c r="F691" s="26"/>
      <c r="G691" s="26"/>
      <c r="H691" s="26"/>
      <c r="I691" s="26"/>
      <c r="J691" s="26"/>
      <c r="K691" s="26"/>
      <c r="L691" s="26"/>
      <c r="M691" s="26"/>
      <c r="N691" s="26"/>
      <c r="O691" s="26"/>
      <c r="P691" s="26"/>
      <c r="Q691" s="26"/>
      <c r="R691" s="26"/>
      <c r="S691" s="26"/>
      <c r="T691" s="26"/>
      <c r="U691" s="26"/>
      <c r="V691" s="26"/>
      <c r="W691" s="26"/>
    </row>
    <row r="692" spans="1:23">
      <c r="A692" s="26"/>
      <c r="B692" s="26"/>
      <c r="C692" s="26"/>
      <c r="D692" s="26"/>
      <c r="E692" s="26"/>
      <c r="F692" s="26"/>
      <c r="G692" s="26"/>
      <c r="H692" s="26"/>
      <c r="I692" s="26"/>
      <c r="J692" s="26"/>
      <c r="K692" s="26"/>
      <c r="L692" s="26"/>
      <c r="M692" s="26"/>
      <c r="N692" s="26"/>
      <c r="O692" s="26"/>
      <c r="P692" s="26"/>
      <c r="Q692" s="26"/>
      <c r="R692" s="26"/>
      <c r="S692" s="26"/>
      <c r="T692" s="26"/>
      <c r="U692" s="26"/>
      <c r="V692" s="26"/>
      <c r="W692" s="26"/>
    </row>
    <row r="693" spans="1:23">
      <c r="A693" s="26"/>
      <c r="B693" s="26"/>
      <c r="C693" s="26"/>
      <c r="D693" s="26"/>
      <c r="E693" s="26"/>
      <c r="F693" s="26"/>
      <c r="G693" s="26"/>
      <c r="H693" s="26"/>
      <c r="I693" s="26"/>
      <c r="J693" s="26"/>
      <c r="K693" s="26"/>
      <c r="L693" s="26"/>
      <c r="M693" s="26"/>
      <c r="N693" s="26"/>
      <c r="O693" s="26"/>
      <c r="P693" s="26"/>
      <c r="Q693" s="26"/>
      <c r="R693" s="26"/>
      <c r="S693" s="26"/>
      <c r="T693" s="26"/>
      <c r="U693" s="26"/>
      <c r="V693" s="26"/>
      <c r="W693" s="26"/>
    </row>
    <row r="694" spans="1:23">
      <c r="A694" s="26"/>
      <c r="B694" s="26"/>
      <c r="C694" s="26"/>
      <c r="D694" s="26"/>
      <c r="E694" s="26"/>
      <c r="F694" s="26"/>
      <c r="G694" s="26"/>
      <c r="H694" s="26"/>
      <c r="I694" s="26"/>
      <c r="J694" s="26"/>
      <c r="K694" s="26"/>
      <c r="L694" s="26"/>
      <c r="M694" s="26"/>
      <c r="N694" s="26"/>
      <c r="O694" s="26"/>
      <c r="P694" s="26"/>
      <c r="Q694" s="26"/>
      <c r="R694" s="26"/>
      <c r="S694" s="26"/>
      <c r="T694" s="26"/>
      <c r="U694" s="26"/>
      <c r="V694" s="26"/>
      <c r="W694" s="26"/>
    </row>
    <row r="695" spans="1:23">
      <c r="A695" s="26"/>
      <c r="B695" s="26"/>
      <c r="C695" s="26"/>
      <c r="D695" s="26"/>
      <c r="E695" s="26"/>
      <c r="F695" s="26"/>
      <c r="G695" s="26"/>
      <c r="H695" s="26"/>
      <c r="I695" s="26"/>
      <c r="J695" s="26"/>
      <c r="K695" s="26"/>
      <c r="L695" s="26"/>
      <c r="M695" s="26"/>
      <c r="N695" s="26"/>
      <c r="O695" s="26"/>
      <c r="P695" s="26"/>
      <c r="Q695" s="26"/>
      <c r="R695" s="26"/>
      <c r="S695" s="26"/>
      <c r="T695" s="26"/>
      <c r="U695" s="26"/>
      <c r="V695" s="26"/>
      <c r="W695" s="26"/>
    </row>
    <row r="696" spans="1:23">
      <c r="A696" s="26"/>
      <c r="B696" s="26"/>
      <c r="C696" s="26"/>
      <c r="D696" s="26"/>
      <c r="E696" s="26"/>
      <c r="F696" s="26"/>
      <c r="G696" s="26"/>
      <c r="H696" s="26"/>
      <c r="I696" s="26"/>
      <c r="J696" s="26"/>
      <c r="K696" s="26"/>
      <c r="L696" s="26"/>
      <c r="M696" s="26"/>
      <c r="N696" s="26"/>
      <c r="O696" s="26"/>
      <c r="P696" s="26"/>
      <c r="Q696" s="26"/>
      <c r="R696" s="26"/>
      <c r="S696" s="26"/>
      <c r="T696" s="26"/>
      <c r="U696" s="26"/>
      <c r="V696" s="26"/>
      <c r="W696" s="26"/>
    </row>
    <row r="697" spans="1:23">
      <c r="A697" s="26"/>
      <c r="B697" s="26"/>
      <c r="C697" s="26"/>
      <c r="D697" s="26"/>
      <c r="E697" s="26"/>
      <c r="F697" s="26"/>
      <c r="G697" s="26"/>
      <c r="H697" s="26"/>
      <c r="I697" s="26"/>
      <c r="J697" s="26"/>
      <c r="K697" s="26"/>
      <c r="L697" s="26"/>
      <c r="M697" s="26"/>
      <c r="N697" s="26"/>
      <c r="O697" s="26"/>
      <c r="P697" s="26"/>
      <c r="Q697" s="26"/>
      <c r="R697" s="26"/>
      <c r="S697" s="26"/>
      <c r="T697" s="26"/>
      <c r="U697" s="26"/>
      <c r="V697" s="26"/>
      <c r="W697" s="26"/>
    </row>
    <row r="698" spans="1:23">
      <c r="A698" s="26"/>
      <c r="B698" s="26"/>
      <c r="C698" s="26"/>
      <c r="D698" s="26"/>
      <c r="E698" s="26"/>
      <c r="F698" s="26"/>
      <c r="G698" s="26"/>
      <c r="H698" s="26"/>
      <c r="I698" s="26"/>
      <c r="J698" s="26"/>
      <c r="K698" s="26"/>
      <c r="L698" s="26"/>
      <c r="M698" s="26"/>
      <c r="N698" s="26"/>
      <c r="O698" s="26"/>
      <c r="P698" s="26"/>
      <c r="Q698" s="26"/>
      <c r="R698" s="26"/>
      <c r="S698" s="26"/>
      <c r="T698" s="26"/>
      <c r="U698" s="26"/>
      <c r="V698" s="26"/>
      <c r="W698" s="26"/>
    </row>
    <row r="699" spans="1:23">
      <c r="A699" s="26"/>
      <c r="B699" s="26"/>
      <c r="C699" s="26"/>
      <c r="D699" s="26"/>
      <c r="E699" s="26"/>
      <c r="F699" s="26"/>
      <c r="G699" s="26"/>
      <c r="H699" s="26"/>
      <c r="I699" s="26"/>
      <c r="J699" s="26"/>
      <c r="K699" s="26"/>
      <c r="L699" s="26"/>
      <c r="M699" s="26"/>
      <c r="N699" s="26"/>
      <c r="O699" s="26"/>
      <c r="P699" s="26"/>
      <c r="Q699" s="26"/>
      <c r="R699" s="26"/>
      <c r="S699" s="26"/>
      <c r="T699" s="26"/>
      <c r="U699" s="26"/>
      <c r="V699" s="26"/>
      <c r="W699" s="26"/>
    </row>
    <row r="700" spans="1:23">
      <c r="A700" s="26"/>
      <c r="B700" s="26"/>
      <c r="C700" s="26"/>
      <c r="D700" s="26"/>
      <c r="E700" s="26"/>
      <c r="F700" s="26"/>
      <c r="G700" s="26"/>
      <c r="H700" s="26"/>
      <c r="I700" s="26"/>
      <c r="J700" s="26"/>
      <c r="K700" s="26"/>
      <c r="L700" s="26"/>
      <c r="M700" s="26"/>
      <c r="N700" s="26"/>
      <c r="O700" s="26"/>
      <c r="P700" s="26"/>
      <c r="Q700" s="26"/>
      <c r="R700" s="26"/>
      <c r="S700" s="26"/>
      <c r="T700" s="26"/>
      <c r="U700" s="26"/>
      <c r="V700" s="26"/>
      <c r="W700" s="26"/>
    </row>
    <row r="701" spans="1:23">
      <c r="A701" s="26"/>
      <c r="B701" s="26"/>
      <c r="C701" s="26"/>
      <c r="D701" s="26"/>
      <c r="E701" s="26"/>
      <c r="F701" s="26"/>
      <c r="G701" s="26"/>
      <c r="H701" s="26"/>
      <c r="I701" s="26"/>
      <c r="J701" s="26"/>
      <c r="K701" s="26"/>
      <c r="L701" s="26"/>
      <c r="M701" s="26"/>
      <c r="N701" s="26"/>
      <c r="O701" s="26"/>
      <c r="P701" s="26"/>
      <c r="Q701" s="26"/>
      <c r="R701" s="26"/>
      <c r="S701" s="26"/>
      <c r="T701" s="26"/>
      <c r="U701" s="26"/>
      <c r="V701" s="26"/>
      <c r="W701" s="26"/>
    </row>
    <row r="702" spans="1:23">
      <c r="A702" s="26"/>
      <c r="B702" s="26"/>
      <c r="C702" s="26"/>
      <c r="D702" s="26"/>
      <c r="E702" s="26"/>
      <c r="F702" s="26"/>
      <c r="G702" s="26"/>
      <c r="H702" s="26"/>
      <c r="I702" s="26"/>
      <c r="J702" s="26"/>
      <c r="K702" s="26"/>
      <c r="L702" s="26"/>
      <c r="M702" s="26"/>
      <c r="N702" s="26"/>
      <c r="O702" s="26"/>
      <c r="P702" s="26"/>
      <c r="Q702" s="26"/>
      <c r="R702" s="26"/>
      <c r="S702" s="26"/>
      <c r="T702" s="26"/>
      <c r="U702" s="26"/>
      <c r="V702" s="26"/>
      <c r="W702" s="26"/>
    </row>
    <row r="703" spans="1:23">
      <c r="A703" s="26"/>
      <c r="B703" s="26"/>
      <c r="C703" s="26"/>
      <c r="D703" s="26"/>
      <c r="E703" s="26"/>
      <c r="F703" s="26"/>
      <c r="G703" s="26"/>
      <c r="H703" s="26"/>
      <c r="I703" s="26"/>
      <c r="J703" s="26"/>
      <c r="K703" s="26"/>
      <c r="L703" s="26"/>
      <c r="M703" s="26"/>
      <c r="N703" s="26"/>
      <c r="O703" s="26"/>
      <c r="P703" s="26"/>
      <c r="Q703" s="26"/>
      <c r="R703" s="26"/>
      <c r="S703" s="26"/>
      <c r="T703" s="26"/>
      <c r="U703" s="26"/>
      <c r="V703" s="26"/>
      <c r="W703" s="26"/>
    </row>
    <row r="704" spans="1:23">
      <c r="A704" s="26"/>
      <c r="B704" s="26"/>
      <c r="C704" s="26"/>
      <c r="D704" s="26"/>
      <c r="E704" s="26"/>
      <c r="F704" s="26"/>
      <c r="G704" s="26"/>
      <c r="H704" s="26"/>
      <c r="I704" s="26"/>
      <c r="J704" s="26"/>
      <c r="K704" s="26"/>
      <c r="L704" s="26"/>
      <c r="M704" s="26"/>
      <c r="N704" s="26"/>
      <c r="O704" s="26"/>
      <c r="P704" s="26"/>
      <c r="Q704" s="26"/>
      <c r="R704" s="26"/>
      <c r="S704" s="26"/>
      <c r="T704" s="26"/>
      <c r="U704" s="26"/>
      <c r="V704" s="26"/>
      <c r="W704" s="26"/>
    </row>
    <row r="705" spans="1:23">
      <c r="A705" s="26"/>
      <c r="B705" s="26"/>
      <c r="C705" s="26"/>
      <c r="D705" s="26"/>
      <c r="E705" s="26"/>
      <c r="F705" s="26"/>
      <c r="G705" s="26"/>
      <c r="H705" s="26"/>
      <c r="I705" s="26"/>
      <c r="J705" s="26"/>
      <c r="K705" s="26"/>
      <c r="L705" s="26"/>
      <c r="M705" s="26"/>
      <c r="N705" s="26"/>
      <c r="O705" s="26"/>
      <c r="P705" s="26"/>
      <c r="Q705" s="26"/>
      <c r="R705" s="26"/>
      <c r="S705" s="26"/>
      <c r="T705" s="26"/>
      <c r="U705" s="26"/>
      <c r="V705" s="26"/>
      <c r="W705" s="26"/>
    </row>
    <row r="706" spans="1:23">
      <c r="A706" s="26"/>
      <c r="B706" s="26"/>
      <c r="C706" s="26"/>
      <c r="D706" s="26"/>
      <c r="E706" s="26"/>
      <c r="F706" s="26"/>
      <c r="G706" s="26"/>
      <c r="H706" s="26"/>
      <c r="I706" s="26"/>
      <c r="J706" s="26"/>
      <c r="K706" s="26"/>
      <c r="L706" s="26"/>
      <c r="M706" s="26"/>
      <c r="N706" s="26"/>
      <c r="O706" s="26"/>
      <c r="P706" s="26"/>
      <c r="Q706" s="26"/>
      <c r="R706" s="26"/>
      <c r="S706" s="26"/>
      <c r="T706" s="26"/>
      <c r="U706" s="26"/>
      <c r="V706" s="26"/>
      <c r="W706" s="26"/>
    </row>
    <row r="707" spans="1:23">
      <c r="A707" s="26"/>
      <c r="B707" s="26"/>
      <c r="C707" s="26"/>
      <c r="D707" s="26"/>
      <c r="E707" s="26"/>
      <c r="F707" s="26"/>
      <c r="G707" s="26"/>
      <c r="H707" s="26"/>
      <c r="I707" s="26"/>
      <c r="J707" s="26"/>
      <c r="K707" s="26"/>
      <c r="L707" s="26"/>
      <c r="M707" s="26"/>
      <c r="N707" s="26"/>
      <c r="O707" s="26"/>
      <c r="P707" s="26"/>
      <c r="Q707" s="26"/>
      <c r="R707" s="26"/>
      <c r="S707" s="26"/>
      <c r="T707" s="26"/>
      <c r="U707" s="26"/>
      <c r="V707" s="26"/>
      <c r="W707" s="26"/>
    </row>
    <row r="708" spans="1:23">
      <c r="A708" s="26"/>
      <c r="B708" s="26"/>
      <c r="C708" s="26"/>
      <c r="D708" s="26"/>
      <c r="E708" s="26"/>
      <c r="F708" s="26"/>
      <c r="G708" s="26"/>
      <c r="H708" s="26"/>
      <c r="I708" s="26"/>
      <c r="J708" s="26"/>
      <c r="K708" s="26"/>
      <c r="L708" s="26"/>
      <c r="M708" s="26"/>
      <c r="N708" s="26"/>
      <c r="O708" s="26"/>
      <c r="P708" s="26"/>
      <c r="Q708" s="26"/>
      <c r="R708" s="26"/>
      <c r="S708" s="26"/>
      <c r="T708" s="26"/>
      <c r="U708" s="26"/>
      <c r="V708" s="26"/>
      <c r="W708" s="26"/>
    </row>
    <row r="709" spans="1:23">
      <c r="A709" s="26"/>
      <c r="B709" s="26"/>
      <c r="C709" s="26"/>
      <c r="D709" s="26"/>
      <c r="E709" s="26"/>
      <c r="F709" s="26"/>
      <c r="G709" s="26"/>
      <c r="H709" s="26"/>
      <c r="I709" s="26"/>
      <c r="J709" s="26"/>
      <c r="K709" s="26"/>
      <c r="L709" s="26"/>
      <c r="M709" s="26"/>
      <c r="N709" s="26"/>
      <c r="O709" s="26"/>
      <c r="P709" s="26"/>
      <c r="Q709" s="26"/>
      <c r="R709" s="26"/>
      <c r="S709" s="26"/>
      <c r="T709" s="26"/>
      <c r="U709" s="26"/>
      <c r="V709" s="26"/>
      <c r="W709" s="26"/>
    </row>
    <row r="710" spans="1:23">
      <c r="A710" s="26"/>
      <c r="B710" s="26"/>
      <c r="C710" s="26"/>
      <c r="D710" s="26"/>
      <c r="E710" s="26"/>
      <c r="F710" s="26"/>
      <c r="G710" s="26"/>
      <c r="H710" s="26"/>
      <c r="I710" s="26"/>
      <c r="J710" s="26"/>
      <c r="K710" s="26"/>
      <c r="L710" s="26"/>
      <c r="M710" s="26"/>
      <c r="N710" s="26"/>
      <c r="O710" s="26"/>
      <c r="P710" s="26"/>
      <c r="Q710" s="26"/>
      <c r="R710" s="26"/>
      <c r="S710" s="26"/>
      <c r="T710" s="26"/>
      <c r="U710" s="26"/>
      <c r="V710" s="26"/>
      <c r="W710" s="26"/>
    </row>
    <row r="711" spans="1:23">
      <c r="A711" s="26"/>
      <c r="B711" s="26"/>
      <c r="C711" s="26"/>
      <c r="D711" s="26"/>
      <c r="E711" s="26"/>
      <c r="F711" s="26"/>
      <c r="G711" s="26"/>
      <c r="H711" s="26"/>
      <c r="I711" s="26"/>
      <c r="J711" s="26"/>
      <c r="K711" s="26"/>
      <c r="L711" s="26"/>
      <c r="M711" s="26"/>
      <c r="N711" s="26"/>
      <c r="O711" s="26"/>
      <c r="P711" s="26"/>
      <c r="Q711" s="26"/>
      <c r="R711" s="26"/>
      <c r="S711" s="26"/>
      <c r="T711" s="26"/>
      <c r="U711" s="26"/>
      <c r="V711" s="26"/>
      <c r="W711" s="26"/>
    </row>
    <row r="712" spans="1:23">
      <c r="A712" s="26"/>
      <c r="B712" s="26"/>
      <c r="C712" s="26"/>
      <c r="D712" s="26"/>
      <c r="E712" s="26"/>
      <c r="F712" s="26"/>
      <c r="G712" s="26"/>
      <c r="H712" s="26"/>
      <c r="I712" s="26"/>
      <c r="J712" s="26"/>
      <c r="K712" s="26"/>
      <c r="L712" s="26"/>
      <c r="M712" s="26"/>
      <c r="N712" s="26"/>
      <c r="O712" s="26"/>
      <c r="P712" s="26"/>
      <c r="Q712" s="26"/>
      <c r="R712" s="26"/>
      <c r="S712" s="26"/>
      <c r="T712" s="26"/>
      <c r="U712" s="26"/>
      <c r="V712" s="26"/>
      <c r="W712" s="26"/>
    </row>
    <row r="713" spans="1:23">
      <c r="A713" s="26"/>
      <c r="B713" s="26"/>
      <c r="C713" s="26"/>
      <c r="D713" s="26"/>
      <c r="E713" s="26"/>
      <c r="F713" s="26"/>
      <c r="G713" s="26"/>
      <c r="H713" s="26"/>
      <c r="I713" s="26"/>
      <c r="J713" s="26"/>
      <c r="K713" s="26"/>
      <c r="L713" s="26"/>
      <c r="M713" s="26"/>
      <c r="N713" s="26"/>
      <c r="O713" s="26"/>
      <c r="P713" s="26"/>
      <c r="Q713" s="26"/>
      <c r="R713" s="26"/>
      <c r="S713" s="26"/>
      <c r="T713" s="26"/>
      <c r="U713" s="26"/>
      <c r="V713" s="26"/>
      <c r="W713" s="26"/>
    </row>
    <row r="714" spans="1:23">
      <c r="A714" s="26"/>
      <c r="B714" s="26"/>
      <c r="C714" s="26"/>
      <c r="D714" s="26"/>
      <c r="E714" s="26"/>
      <c r="F714" s="26"/>
      <c r="G714" s="26"/>
      <c r="H714" s="26"/>
      <c r="I714" s="26"/>
      <c r="J714" s="26"/>
      <c r="K714" s="26"/>
      <c r="L714" s="26"/>
      <c r="M714" s="26"/>
      <c r="N714" s="26"/>
      <c r="O714" s="26"/>
      <c r="P714" s="26"/>
      <c r="Q714" s="26"/>
      <c r="R714" s="26"/>
      <c r="S714" s="26"/>
      <c r="T714" s="26"/>
      <c r="U714" s="26"/>
      <c r="V714" s="26"/>
      <c r="W714" s="26"/>
    </row>
    <row r="715" spans="1:23">
      <c r="A715" s="26"/>
      <c r="B715" s="26"/>
      <c r="C715" s="26"/>
      <c r="D715" s="26"/>
      <c r="E715" s="26"/>
      <c r="F715" s="26"/>
      <c r="G715" s="26"/>
      <c r="H715" s="26"/>
      <c r="I715" s="26"/>
      <c r="J715" s="26"/>
      <c r="K715" s="26"/>
      <c r="L715" s="26"/>
      <c r="M715" s="26"/>
      <c r="N715" s="26"/>
      <c r="O715" s="26"/>
      <c r="P715" s="26"/>
      <c r="Q715" s="26"/>
      <c r="R715" s="26"/>
      <c r="S715" s="26"/>
      <c r="T715" s="26"/>
      <c r="U715" s="26"/>
      <c r="V715" s="26"/>
      <c r="W715" s="26"/>
    </row>
    <row r="716" spans="1:23">
      <c r="A716" s="26"/>
      <c r="B716" s="26"/>
      <c r="C716" s="26"/>
      <c r="D716" s="26"/>
      <c r="E716" s="26"/>
      <c r="F716" s="26"/>
      <c r="G716" s="26"/>
      <c r="H716" s="26"/>
      <c r="I716" s="26"/>
      <c r="J716" s="26"/>
      <c r="K716" s="26"/>
      <c r="L716" s="26"/>
      <c r="M716" s="26"/>
      <c r="N716" s="26"/>
      <c r="O716" s="26"/>
      <c r="P716" s="26"/>
      <c r="Q716" s="26"/>
      <c r="R716" s="26"/>
      <c r="S716" s="26"/>
      <c r="T716" s="26"/>
      <c r="U716" s="26"/>
      <c r="V716" s="26"/>
      <c r="W716" s="26"/>
    </row>
    <row r="717" spans="1:23">
      <c r="A717" s="26"/>
      <c r="B717" s="26"/>
      <c r="C717" s="26"/>
      <c r="D717" s="26"/>
      <c r="E717" s="26"/>
      <c r="F717" s="26"/>
      <c r="G717" s="26"/>
      <c r="H717" s="26"/>
      <c r="I717" s="26"/>
      <c r="J717" s="26"/>
      <c r="K717" s="26"/>
      <c r="L717" s="26"/>
      <c r="M717" s="26"/>
      <c r="N717" s="26"/>
      <c r="O717" s="26"/>
      <c r="P717" s="26"/>
      <c r="Q717" s="26"/>
      <c r="R717" s="26"/>
      <c r="S717" s="26"/>
      <c r="T717" s="26"/>
      <c r="U717" s="26"/>
      <c r="V717" s="26"/>
      <c r="W717" s="26"/>
    </row>
    <row r="718" spans="1:23">
      <c r="A718" s="26"/>
      <c r="B718" s="26"/>
      <c r="C718" s="26"/>
      <c r="D718" s="26"/>
      <c r="E718" s="26"/>
      <c r="F718" s="26"/>
      <c r="G718" s="26"/>
      <c r="H718" s="26"/>
      <c r="I718" s="26"/>
      <c r="J718" s="26"/>
      <c r="K718" s="26"/>
      <c r="L718" s="26"/>
      <c r="M718" s="26"/>
      <c r="N718" s="26"/>
      <c r="O718" s="26"/>
      <c r="P718" s="26"/>
      <c r="Q718" s="26"/>
      <c r="R718" s="26"/>
      <c r="S718" s="26"/>
      <c r="T718" s="26"/>
      <c r="U718" s="26"/>
      <c r="V718" s="26"/>
      <c r="W718" s="26"/>
    </row>
    <row r="719" spans="1:23">
      <c r="A719" s="26"/>
      <c r="B719" s="26"/>
      <c r="C719" s="26"/>
      <c r="D719" s="26"/>
      <c r="E719" s="26"/>
      <c r="F719" s="26"/>
      <c r="G719" s="26"/>
      <c r="H719" s="26"/>
      <c r="I719" s="26"/>
      <c r="J719" s="26"/>
      <c r="K719" s="26"/>
      <c r="L719" s="26"/>
      <c r="M719" s="26"/>
      <c r="N719" s="26"/>
      <c r="O719" s="26"/>
      <c r="P719" s="26"/>
      <c r="Q719" s="26"/>
      <c r="R719" s="26"/>
      <c r="S719" s="26"/>
      <c r="T719" s="26"/>
      <c r="U719" s="26"/>
      <c r="V719" s="26"/>
      <c r="W719" s="26"/>
    </row>
    <row r="720" spans="1:23">
      <c r="A720" s="26"/>
      <c r="B720" s="26"/>
      <c r="C720" s="26"/>
      <c r="D720" s="26"/>
      <c r="E720" s="26"/>
      <c r="F720" s="26"/>
      <c r="G720" s="26"/>
      <c r="H720" s="26"/>
      <c r="I720" s="26"/>
      <c r="J720" s="26"/>
      <c r="K720" s="26"/>
      <c r="L720" s="26"/>
      <c r="M720" s="26"/>
      <c r="N720" s="26"/>
      <c r="O720" s="26"/>
      <c r="P720" s="26"/>
      <c r="Q720" s="26"/>
      <c r="R720" s="26"/>
      <c r="S720" s="26"/>
      <c r="T720" s="26"/>
      <c r="U720" s="26"/>
      <c r="V720" s="26"/>
      <c r="W720" s="26"/>
    </row>
    <row r="721" spans="1:23">
      <c r="A721" s="26"/>
      <c r="B721" s="26"/>
      <c r="C721" s="26"/>
      <c r="D721" s="26"/>
      <c r="E721" s="26"/>
      <c r="F721" s="26"/>
      <c r="G721" s="26"/>
      <c r="H721" s="26"/>
      <c r="I721" s="26"/>
      <c r="J721" s="26"/>
      <c r="K721" s="26"/>
      <c r="L721" s="26"/>
      <c r="M721" s="26"/>
      <c r="N721" s="26"/>
      <c r="O721" s="26"/>
      <c r="P721" s="26"/>
      <c r="Q721" s="26"/>
      <c r="R721" s="26"/>
      <c r="S721" s="26"/>
      <c r="T721" s="26"/>
      <c r="U721" s="26"/>
      <c r="V721" s="26"/>
      <c r="W721" s="26"/>
    </row>
    <row r="722" spans="1:23">
      <c r="A722" s="26"/>
      <c r="B722" s="26"/>
      <c r="C722" s="26"/>
      <c r="D722" s="26"/>
      <c r="E722" s="26"/>
      <c r="F722" s="26"/>
      <c r="G722" s="26"/>
      <c r="H722" s="26"/>
      <c r="I722" s="26"/>
      <c r="J722" s="26"/>
      <c r="K722" s="26"/>
      <c r="L722" s="26"/>
      <c r="M722" s="26"/>
      <c r="N722" s="26"/>
      <c r="O722" s="26"/>
      <c r="P722" s="26"/>
      <c r="Q722" s="26"/>
      <c r="R722" s="26"/>
      <c r="S722" s="26"/>
      <c r="T722" s="26"/>
      <c r="U722" s="26"/>
      <c r="V722" s="26"/>
      <c r="W722" s="26"/>
    </row>
    <row r="723" spans="1:23">
      <c r="A723" s="26"/>
      <c r="B723" s="26"/>
      <c r="C723" s="26"/>
      <c r="D723" s="26"/>
      <c r="E723" s="26"/>
      <c r="F723" s="26"/>
      <c r="G723" s="26"/>
      <c r="H723" s="26"/>
      <c r="I723" s="26"/>
      <c r="J723" s="26"/>
      <c r="K723" s="26"/>
      <c r="L723" s="26"/>
      <c r="M723" s="26"/>
      <c r="N723" s="26"/>
      <c r="O723" s="26"/>
      <c r="P723" s="26"/>
      <c r="Q723" s="26"/>
      <c r="R723" s="26"/>
      <c r="S723" s="26"/>
      <c r="T723" s="26"/>
      <c r="U723" s="26"/>
      <c r="V723" s="26"/>
      <c r="W723" s="26"/>
    </row>
    <row r="724" spans="1:23">
      <c r="A724" s="26"/>
      <c r="B724" s="26"/>
      <c r="C724" s="26"/>
      <c r="D724" s="26"/>
      <c r="E724" s="26"/>
      <c r="F724" s="26"/>
      <c r="G724" s="26"/>
      <c r="H724" s="26"/>
      <c r="I724" s="26"/>
      <c r="J724" s="26"/>
      <c r="K724" s="26"/>
      <c r="L724" s="26"/>
      <c r="M724" s="26"/>
      <c r="N724" s="26"/>
      <c r="O724" s="26"/>
      <c r="P724" s="26"/>
      <c r="Q724" s="26"/>
      <c r="R724" s="26"/>
      <c r="S724" s="26"/>
      <c r="T724" s="26"/>
      <c r="U724" s="26"/>
      <c r="V724" s="26"/>
      <c r="W724" s="26"/>
    </row>
    <row r="725" spans="1:23">
      <c r="A725" s="26"/>
      <c r="B725" s="26"/>
      <c r="C725" s="26"/>
      <c r="D725" s="26"/>
      <c r="E725" s="26"/>
      <c r="F725" s="26"/>
      <c r="G725" s="26"/>
      <c r="H725" s="26"/>
      <c r="I725" s="26"/>
      <c r="J725" s="26"/>
      <c r="K725" s="26"/>
      <c r="L725" s="26"/>
      <c r="M725" s="26"/>
      <c r="N725" s="26"/>
      <c r="O725" s="26"/>
      <c r="P725" s="26"/>
      <c r="Q725" s="26"/>
      <c r="R725" s="26"/>
      <c r="S725" s="26"/>
      <c r="T725" s="26"/>
      <c r="U725" s="26"/>
      <c r="V725" s="26"/>
      <c r="W725" s="26"/>
    </row>
    <row r="726" spans="1:23">
      <c r="A726" s="26"/>
      <c r="B726" s="26"/>
      <c r="C726" s="26"/>
      <c r="D726" s="26"/>
      <c r="E726" s="26"/>
      <c r="F726" s="26"/>
      <c r="G726" s="26"/>
      <c r="H726" s="26"/>
      <c r="I726" s="26"/>
      <c r="J726" s="26"/>
      <c r="K726" s="26"/>
      <c r="L726" s="26"/>
      <c r="M726" s="26"/>
      <c r="N726" s="26"/>
      <c r="O726" s="26"/>
      <c r="P726" s="26"/>
      <c r="Q726" s="26"/>
      <c r="R726" s="26"/>
      <c r="S726" s="26"/>
      <c r="T726" s="26"/>
      <c r="U726" s="26"/>
      <c r="V726" s="26"/>
      <c r="W726" s="26"/>
    </row>
    <row r="727" spans="1:23">
      <c r="A727" s="26"/>
      <c r="B727" s="26"/>
      <c r="C727" s="26"/>
      <c r="D727" s="26"/>
      <c r="E727" s="26"/>
      <c r="F727" s="26"/>
      <c r="G727" s="26"/>
      <c r="H727" s="26"/>
      <c r="I727" s="26"/>
      <c r="J727" s="26"/>
      <c r="K727" s="26"/>
      <c r="L727" s="26"/>
      <c r="M727" s="26"/>
      <c r="N727" s="26"/>
      <c r="O727" s="26"/>
      <c r="P727" s="26"/>
      <c r="Q727" s="26"/>
      <c r="R727" s="26"/>
      <c r="S727" s="26"/>
      <c r="T727" s="26"/>
      <c r="U727" s="26"/>
      <c r="V727" s="26"/>
      <c r="W727" s="26"/>
    </row>
    <row r="728" spans="1:23">
      <c r="A728" s="26"/>
      <c r="B728" s="26"/>
      <c r="C728" s="26"/>
      <c r="D728" s="26"/>
      <c r="E728" s="26"/>
      <c r="F728" s="26"/>
      <c r="G728" s="26"/>
      <c r="H728" s="26"/>
      <c r="I728" s="26"/>
      <c r="J728" s="26"/>
      <c r="K728" s="26"/>
      <c r="L728" s="26"/>
      <c r="M728" s="26"/>
      <c r="N728" s="26"/>
      <c r="O728" s="26"/>
      <c r="P728" s="26"/>
      <c r="Q728" s="26"/>
      <c r="R728" s="26"/>
      <c r="S728" s="26"/>
      <c r="T728" s="26"/>
      <c r="U728" s="26"/>
      <c r="V728" s="26"/>
      <c r="W728" s="26"/>
    </row>
    <row r="729" spans="1:23">
      <c r="A729" s="26"/>
      <c r="B729" s="26"/>
      <c r="C729" s="26"/>
      <c r="D729" s="26"/>
      <c r="E729" s="26"/>
      <c r="F729" s="26"/>
      <c r="G729" s="26"/>
      <c r="H729" s="26"/>
      <c r="I729" s="26"/>
      <c r="J729" s="26"/>
      <c r="K729" s="26"/>
      <c r="L729" s="26"/>
      <c r="M729" s="26"/>
      <c r="N729" s="26"/>
      <c r="O729" s="26"/>
      <c r="P729" s="26"/>
      <c r="Q729" s="26"/>
      <c r="R729" s="26"/>
      <c r="S729" s="26"/>
      <c r="T729" s="26"/>
      <c r="U729" s="26"/>
      <c r="V729" s="26"/>
      <c r="W729" s="26"/>
    </row>
    <row r="730" spans="1:23">
      <c r="A730" s="26"/>
      <c r="B730" s="26"/>
      <c r="C730" s="26"/>
      <c r="D730" s="26"/>
      <c r="E730" s="26"/>
      <c r="F730" s="26"/>
      <c r="G730" s="26"/>
      <c r="H730" s="26"/>
      <c r="I730" s="26"/>
      <c r="J730" s="26"/>
      <c r="K730" s="26"/>
      <c r="L730" s="26"/>
      <c r="M730" s="26"/>
      <c r="N730" s="26"/>
      <c r="O730" s="26"/>
      <c r="P730" s="26"/>
      <c r="Q730" s="26"/>
      <c r="R730" s="26"/>
      <c r="S730" s="26"/>
      <c r="T730" s="26"/>
      <c r="U730" s="26"/>
      <c r="V730" s="26"/>
      <c r="W730" s="26"/>
    </row>
    <row r="731" spans="1:23">
      <c r="A731" s="26"/>
      <c r="B731" s="26"/>
      <c r="C731" s="26"/>
      <c r="D731" s="26"/>
      <c r="E731" s="26"/>
      <c r="F731" s="26"/>
      <c r="G731" s="26"/>
      <c r="H731" s="26"/>
      <c r="I731" s="26"/>
      <c r="J731" s="26"/>
      <c r="K731" s="26"/>
      <c r="L731" s="26"/>
      <c r="M731" s="26"/>
      <c r="N731" s="26"/>
      <c r="O731" s="26"/>
      <c r="P731" s="26"/>
      <c r="Q731" s="26"/>
      <c r="R731" s="26"/>
      <c r="S731" s="26"/>
      <c r="T731" s="26"/>
      <c r="U731" s="26"/>
      <c r="V731" s="26"/>
      <c r="W731" s="26"/>
    </row>
    <row r="732" spans="1:23">
      <c r="A732" s="26"/>
      <c r="B732" s="26"/>
      <c r="C732" s="26"/>
      <c r="D732" s="26"/>
      <c r="E732" s="26"/>
      <c r="F732" s="26"/>
      <c r="G732" s="26"/>
      <c r="H732" s="26"/>
      <c r="I732" s="26"/>
      <c r="J732" s="26"/>
      <c r="K732" s="26"/>
      <c r="L732" s="26"/>
      <c r="M732" s="26"/>
      <c r="N732" s="26"/>
      <c r="O732" s="26"/>
      <c r="P732" s="26"/>
      <c r="Q732" s="26"/>
      <c r="R732" s="26"/>
      <c r="S732" s="26"/>
      <c r="T732" s="26"/>
      <c r="U732" s="26"/>
      <c r="V732" s="26"/>
      <c r="W732" s="26"/>
    </row>
    <row r="733" spans="1:23">
      <c r="A733" s="26"/>
      <c r="B733" s="26"/>
      <c r="C733" s="26"/>
      <c r="D733" s="26"/>
      <c r="E733" s="26"/>
      <c r="F733" s="26"/>
      <c r="G733" s="26"/>
      <c r="H733" s="26"/>
      <c r="I733" s="26"/>
      <c r="J733" s="26"/>
      <c r="K733" s="26"/>
      <c r="L733" s="26"/>
      <c r="M733" s="26"/>
      <c r="N733" s="26"/>
      <c r="O733" s="26"/>
      <c r="P733" s="26"/>
      <c r="Q733" s="26"/>
      <c r="R733" s="26"/>
      <c r="S733" s="26"/>
      <c r="T733" s="26"/>
      <c r="U733" s="26"/>
      <c r="V733" s="26"/>
      <c r="W733" s="26"/>
    </row>
    <row r="734" spans="1:23">
      <c r="A734" s="26"/>
      <c r="B734" s="26"/>
      <c r="C734" s="26"/>
      <c r="D734" s="26"/>
      <c r="E734" s="26"/>
      <c r="F734" s="26"/>
      <c r="G734" s="26"/>
      <c r="H734" s="26"/>
      <c r="I734" s="26"/>
      <c r="J734" s="26"/>
      <c r="K734" s="26"/>
      <c r="L734" s="26"/>
      <c r="M734" s="26"/>
      <c r="N734" s="26"/>
      <c r="O734" s="26"/>
      <c r="P734" s="26"/>
      <c r="Q734" s="26"/>
      <c r="R734" s="26"/>
      <c r="S734" s="26"/>
      <c r="T734" s="26"/>
      <c r="U734" s="26"/>
      <c r="V734" s="26"/>
      <c r="W734" s="26"/>
    </row>
    <row r="735" spans="1:23">
      <c r="A735" s="26"/>
      <c r="B735" s="26"/>
      <c r="C735" s="26"/>
      <c r="D735" s="26"/>
      <c r="E735" s="26"/>
      <c r="F735" s="26"/>
      <c r="G735" s="26"/>
      <c r="H735" s="26"/>
      <c r="I735" s="26"/>
      <c r="J735" s="26"/>
      <c r="K735" s="26"/>
      <c r="L735" s="26"/>
      <c r="M735" s="26"/>
      <c r="N735" s="26"/>
      <c r="O735" s="26"/>
      <c r="P735" s="26"/>
      <c r="Q735" s="26"/>
      <c r="R735" s="26"/>
      <c r="S735" s="26"/>
      <c r="T735" s="26"/>
      <c r="U735" s="26"/>
      <c r="V735" s="26"/>
      <c r="W735" s="26"/>
    </row>
    <row r="736" spans="1:23">
      <c r="A736" s="26"/>
      <c r="B736" s="26"/>
      <c r="C736" s="26"/>
      <c r="D736" s="26"/>
      <c r="E736" s="26"/>
      <c r="F736" s="26"/>
      <c r="G736" s="26"/>
      <c r="H736" s="26"/>
      <c r="I736" s="26"/>
      <c r="J736" s="26"/>
      <c r="K736" s="26"/>
      <c r="L736" s="26"/>
      <c r="M736" s="26"/>
      <c r="N736" s="26"/>
      <c r="O736" s="26"/>
      <c r="P736" s="26"/>
      <c r="Q736" s="26"/>
      <c r="R736" s="26"/>
      <c r="S736" s="26"/>
      <c r="T736" s="26"/>
      <c r="U736" s="26"/>
      <c r="V736" s="26"/>
      <c r="W736" s="26"/>
    </row>
    <row r="737" spans="1:23">
      <c r="A737" s="26"/>
      <c r="B737" s="26"/>
      <c r="C737" s="26"/>
      <c r="D737" s="26"/>
      <c r="E737" s="26"/>
      <c r="F737" s="26"/>
      <c r="G737" s="26"/>
      <c r="H737" s="26"/>
      <c r="I737" s="26"/>
      <c r="J737" s="26"/>
      <c r="K737" s="26"/>
      <c r="L737" s="26"/>
      <c r="M737" s="26"/>
      <c r="N737" s="26"/>
      <c r="O737" s="26"/>
      <c r="P737" s="26"/>
      <c r="Q737" s="26"/>
      <c r="R737" s="26"/>
      <c r="S737" s="26"/>
      <c r="T737" s="26"/>
      <c r="U737" s="26"/>
      <c r="V737" s="26"/>
      <c r="W737" s="26"/>
    </row>
    <row r="738" spans="1:23">
      <c r="A738" s="26"/>
      <c r="B738" s="26"/>
      <c r="C738" s="26"/>
      <c r="D738" s="26"/>
      <c r="E738" s="26"/>
      <c r="F738" s="26"/>
      <c r="G738" s="26"/>
      <c r="H738" s="26"/>
      <c r="I738" s="26"/>
      <c r="J738" s="26"/>
      <c r="K738" s="26"/>
      <c r="L738" s="26"/>
      <c r="M738" s="26"/>
      <c r="N738" s="26"/>
      <c r="O738" s="26"/>
      <c r="P738" s="26"/>
      <c r="Q738" s="26"/>
      <c r="R738" s="26"/>
      <c r="S738" s="26"/>
      <c r="T738" s="26"/>
      <c r="U738" s="26"/>
      <c r="V738" s="26"/>
      <c r="W738" s="26"/>
    </row>
    <row r="739" spans="1:23">
      <c r="A739" s="26"/>
      <c r="B739" s="26"/>
      <c r="C739" s="26"/>
      <c r="D739" s="26"/>
      <c r="E739" s="26"/>
      <c r="F739" s="26"/>
      <c r="G739" s="26"/>
      <c r="H739" s="26"/>
      <c r="I739" s="26"/>
      <c r="J739" s="26"/>
      <c r="K739" s="26"/>
      <c r="L739" s="26"/>
      <c r="M739" s="26"/>
      <c r="N739" s="26"/>
      <c r="O739" s="26"/>
      <c r="P739" s="26"/>
      <c r="Q739" s="26"/>
      <c r="R739" s="26"/>
      <c r="S739" s="26"/>
      <c r="T739" s="26"/>
      <c r="U739" s="26"/>
      <c r="V739" s="26"/>
      <c r="W739" s="26"/>
    </row>
    <row r="740" spans="1:23">
      <c r="A740" s="26"/>
      <c r="B740" s="26"/>
      <c r="C740" s="26"/>
      <c r="D740" s="26"/>
      <c r="E740" s="26"/>
      <c r="F740" s="26"/>
      <c r="G740" s="26"/>
      <c r="H740" s="26"/>
      <c r="I740" s="26"/>
      <c r="J740" s="26"/>
      <c r="K740" s="26"/>
      <c r="L740" s="26"/>
      <c r="M740" s="26"/>
      <c r="N740" s="26"/>
      <c r="O740" s="26"/>
      <c r="P740" s="26"/>
      <c r="Q740" s="26"/>
      <c r="R740" s="26"/>
      <c r="S740" s="26"/>
      <c r="T740" s="26"/>
      <c r="U740" s="26"/>
      <c r="V740" s="26"/>
      <c r="W740" s="26"/>
    </row>
    <row r="741" spans="1:23">
      <c r="A741" s="26"/>
      <c r="B741" s="26"/>
      <c r="C741" s="26"/>
      <c r="D741" s="26"/>
      <c r="E741" s="26"/>
      <c r="F741" s="26"/>
      <c r="G741" s="26"/>
      <c r="H741" s="26"/>
      <c r="I741" s="26"/>
      <c r="J741" s="26"/>
      <c r="K741" s="26"/>
      <c r="L741" s="26"/>
      <c r="M741" s="26"/>
      <c r="N741" s="26"/>
      <c r="O741" s="26"/>
      <c r="P741" s="26"/>
      <c r="Q741" s="26"/>
      <c r="R741" s="26"/>
      <c r="S741" s="26"/>
      <c r="T741" s="26"/>
      <c r="U741" s="26"/>
      <c r="V741" s="26"/>
      <c r="W741" s="26"/>
    </row>
    <row r="742" spans="1:23">
      <c r="A742" s="26"/>
      <c r="B742" s="26"/>
      <c r="C742" s="26"/>
      <c r="D742" s="26"/>
      <c r="E742" s="26"/>
      <c r="F742" s="26"/>
      <c r="G742" s="26"/>
      <c r="H742" s="26"/>
      <c r="I742" s="26"/>
      <c r="J742" s="26"/>
      <c r="K742" s="26"/>
      <c r="L742" s="26"/>
      <c r="M742" s="26"/>
      <c r="N742" s="26"/>
      <c r="O742" s="26"/>
      <c r="P742" s="26"/>
      <c r="Q742" s="26"/>
      <c r="R742" s="26"/>
      <c r="S742" s="26"/>
      <c r="T742" s="26"/>
      <c r="U742" s="26"/>
      <c r="V742" s="26"/>
      <c r="W742" s="26"/>
    </row>
    <row r="743" spans="1:23">
      <c r="A743" s="26"/>
      <c r="B743" s="26"/>
      <c r="C743" s="26"/>
      <c r="D743" s="26"/>
      <c r="E743" s="26"/>
      <c r="F743" s="26"/>
      <c r="G743" s="26"/>
      <c r="H743" s="26"/>
      <c r="I743" s="26"/>
      <c r="J743" s="26"/>
      <c r="K743" s="26"/>
      <c r="L743" s="26"/>
      <c r="M743" s="26"/>
      <c r="N743" s="26"/>
      <c r="O743" s="26"/>
      <c r="P743" s="26"/>
      <c r="Q743" s="26"/>
      <c r="R743" s="26"/>
      <c r="S743" s="26"/>
      <c r="T743" s="26"/>
      <c r="U743" s="26"/>
      <c r="V743" s="26"/>
      <c r="W743" s="26"/>
    </row>
    <row r="744" spans="1:23">
      <c r="A744" s="26"/>
      <c r="B744" s="26"/>
      <c r="C744" s="26"/>
      <c r="D744" s="26"/>
      <c r="E744" s="26"/>
      <c r="F744" s="26"/>
      <c r="G744" s="26"/>
      <c r="H744" s="26"/>
      <c r="I744" s="26"/>
      <c r="J744" s="26"/>
      <c r="K744" s="26"/>
      <c r="L744" s="26"/>
      <c r="M744" s="26"/>
      <c r="N744" s="26"/>
      <c r="O744" s="26"/>
      <c r="P744" s="26"/>
      <c r="Q744" s="26"/>
      <c r="R744" s="26"/>
      <c r="S744" s="26"/>
      <c r="T744" s="26"/>
      <c r="U744" s="26"/>
      <c r="V744" s="26"/>
      <c r="W744" s="26"/>
    </row>
    <row r="745" spans="1:23">
      <c r="A745" s="26"/>
      <c r="B745" s="26"/>
      <c r="C745" s="26"/>
      <c r="D745" s="26"/>
      <c r="E745" s="26"/>
      <c r="F745" s="26"/>
      <c r="G745" s="26"/>
      <c r="H745" s="26"/>
      <c r="I745" s="26"/>
      <c r="J745" s="26"/>
      <c r="K745" s="26"/>
      <c r="L745" s="26"/>
      <c r="M745" s="26"/>
      <c r="N745" s="26"/>
      <c r="O745" s="26"/>
      <c r="P745" s="26"/>
      <c r="Q745" s="26"/>
      <c r="R745" s="26"/>
      <c r="S745" s="26"/>
      <c r="T745" s="26"/>
      <c r="U745" s="26"/>
      <c r="V745" s="26"/>
      <c r="W745" s="26"/>
    </row>
    <row r="746" spans="1:23">
      <c r="A746" s="26"/>
      <c r="B746" s="26"/>
      <c r="C746" s="26"/>
      <c r="D746" s="26"/>
      <c r="E746" s="26"/>
      <c r="F746" s="26"/>
      <c r="G746" s="26"/>
      <c r="H746" s="26"/>
      <c r="I746" s="26"/>
      <c r="J746" s="26"/>
      <c r="K746" s="26"/>
      <c r="L746" s="26"/>
      <c r="M746" s="26"/>
      <c r="N746" s="26"/>
      <c r="O746" s="26"/>
      <c r="P746" s="26"/>
      <c r="Q746" s="26"/>
      <c r="R746" s="26"/>
      <c r="S746" s="26"/>
      <c r="T746" s="26"/>
      <c r="U746" s="26"/>
      <c r="V746" s="26"/>
      <c r="W746" s="26"/>
    </row>
    <row r="747" spans="1:23">
      <c r="A747" s="26"/>
      <c r="B747" s="26"/>
      <c r="C747" s="26"/>
      <c r="D747" s="26"/>
      <c r="E747" s="26"/>
      <c r="F747" s="26"/>
      <c r="G747" s="26"/>
      <c r="H747" s="26"/>
      <c r="I747" s="26"/>
      <c r="J747" s="26"/>
      <c r="K747" s="26"/>
      <c r="L747" s="26"/>
      <c r="M747" s="26"/>
      <c r="N747" s="26"/>
      <c r="O747" s="26"/>
      <c r="P747" s="26"/>
      <c r="Q747" s="26"/>
      <c r="R747" s="26"/>
      <c r="S747" s="26"/>
      <c r="T747" s="26"/>
      <c r="U747" s="26"/>
      <c r="V747" s="26"/>
      <c r="W747" s="26"/>
    </row>
    <row r="748" spans="1:23">
      <c r="A748" s="26"/>
      <c r="B748" s="26"/>
      <c r="C748" s="26"/>
      <c r="D748" s="26"/>
      <c r="E748" s="26"/>
      <c r="F748" s="26"/>
      <c r="G748" s="26"/>
      <c r="H748" s="26"/>
      <c r="I748" s="26"/>
      <c r="J748" s="26"/>
      <c r="K748" s="26"/>
      <c r="L748" s="26"/>
      <c r="M748" s="26"/>
      <c r="N748" s="26"/>
      <c r="O748" s="26"/>
      <c r="P748" s="26"/>
      <c r="Q748" s="26"/>
      <c r="R748" s="26"/>
      <c r="S748" s="26"/>
      <c r="T748" s="26"/>
      <c r="U748" s="26"/>
      <c r="V748" s="26"/>
      <c r="W748" s="26"/>
    </row>
    <row r="749" spans="1:23">
      <c r="A749" s="26"/>
      <c r="B749" s="26"/>
      <c r="C749" s="26"/>
      <c r="D749" s="26"/>
      <c r="E749" s="26"/>
      <c r="F749" s="26"/>
      <c r="G749" s="26"/>
      <c r="H749" s="26"/>
      <c r="I749" s="26"/>
      <c r="J749" s="26"/>
      <c r="K749" s="26"/>
      <c r="L749" s="26"/>
      <c r="M749" s="26"/>
      <c r="N749" s="26"/>
      <c r="O749" s="26"/>
      <c r="P749" s="26"/>
      <c r="Q749" s="26"/>
      <c r="R749" s="26"/>
      <c r="S749" s="26"/>
      <c r="T749" s="26"/>
      <c r="U749" s="26"/>
      <c r="V749" s="26"/>
      <c r="W749" s="26"/>
    </row>
    <row r="750" spans="1:23">
      <c r="A750" s="26"/>
      <c r="B750" s="26"/>
      <c r="C750" s="26"/>
      <c r="D750" s="26"/>
      <c r="E750" s="26"/>
      <c r="F750" s="26"/>
      <c r="G750" s="26"/>
      <c r="H750" s="26"/>
      <c r="I750" s="26"/>
      <c r="J750" s="26"/>
      <c r="K750" s="26"/>
      <c r="L750" s="26"/>
      <c r="M750" s="26"/>
      <c r="N750" s="26"/>
      <c r="O750" s="26"/>
      <c r="P750" s="26"/>
      <c r="Q750" s="26"/>
      <c r="R750" s="26"/>
      <c r="S750" s="26"/>
      <c r="T750" s="26"/>
      <c r="U750" s="26"/>
      <c r="V750" s="26"/>
      <c r="W750" s="26"/>
    </row>
    <row r="751" spans="1:23">
      <c r="A751" s="26"/>
      <c r="B751" s="26"/>
      <c r="C751" s="26"/>
      <c r="D751" s="26"/>
      <c r="E751" s="26"/>
      <c r="F751" s="26"/>
      <c r="G751" s="26"/>
      <c r="H751" s="26"/>
      <c r="I751" s="26"/>
      <c r="J751" s="26"/>
      <c r="K751" s="26"/>
      <c r="L751" s="26"/>
      <c r="M751" s="26"/>
      <c r="N751" s="26"/>
      <c r="O751" s="26"/>
      <c r="P751" s="26"/>
      <c r="Q751" s="26"/>
      <c r="R751" s="26"/>
      <c r="S751" s="26"/>
      <c r="T751" s="26"/>
      <c r="U751" s="26"/>
      <c r="V751" s="26"/>
      <c r="W751" s="26"/>
    </row>
    <row r="752" spans="1:23">
      <c r="A752" s="26"/>
      <c r="B752" s="26"/>
      <c r="C752" s="26"/>
      <c r="D752" s="26"/>
      <c r="E752" s="26"/>
      <c r="F752" s="26"/>
      <c r="G752" s="26"/>
      <c r="H752" s="26"/>
      <c r="I752" s="26"/>
      <c r="J752" s="26"/>
      <c r="K752" s="26"/>
      <c r="L752" s="26"/>
      <c r="M752" s="26"/>
      <c r="N752" s="26"/>
      <c r="O752" s="26"/>
      <c r="P752" s="26"/>
      <c r="Q752" s="26"/>
      <c r="R752" s="26"/>
      <c r="S752" s="26"/>
      <c r="T752" s="26"/>
      <c r="U752" s="26"/>
      <c r="V752" s="26"/>
      <c r="W752" s="26"/>
    </row>
    <row r="753" spans="1:23">
      <c r="A753" s="26"/>
      <c r="B753" s="26"/>
      <c r="C753" s="26"/>
      <c r="D753" s="26"/>
      <c r="E753" s="26"/>
      <c r="F753" s="26"/>
      <c r="G753" s="26"/>
      <c r="H753" s="26"/>
      <c r="I753" s="26"/>
      <c r="J753" s="26"/>
      <c r="K753" s="26"/>
      <c r="L753" s="26"/>
      <c r="M753" s="26"/>
      <c r="N753" s="26"/>
      <c r="O753" s="26"/>
      <c r="P753" s="26"/>
      <c r="Q753" s="26"/>
      <c r="R753" s="26"/>
      <c r="S753" s="26"/>
      <c r="T753" s="26"/>
      <c r="U753" s="26"/>
      <c r="V753" s="26"/>
      <c r="W753" s="26"/>
    </row>
    <row r="754" spans="1:23">
      <c r="A754" s="26"/>
      <c r="B754" s="26"/>
      <c r="C754" s="26"/>
      <c r="D754" s="26"/>
      <c r="E754" s="26"/>
      <c r="F754" s="26"/>
      <c r="G754" s="26"/>
      <c r="H754" s="26"/>
      <c r="I754" s="26"/>
      <c r="J754" s="26"/>
      <c r="K754" s="26"/>
      <c r="L754" s="26"/>
      <c r="M754" s="26"/>
      <c r="N754" s="26"/>
      <c r="O754" s="26"/>
      <c r="P754" s="26"/>
      <c r="Q754" s="26"/>
      <c r="R754" s="26"/>
      <c r="S754" s="26"/>
      <c r="T754" s="26"/>
      <c r="U754" s="26"/>
      <c r="V754" s="26"/>
      <c r="W754" s="26"/>
    </row>
    <row r="755" spans="1:23">
      <c r="A755" s="26"/>
      <c r="B755" s="26"/>
      <c r="C755" s="26"/>
      <c r="D755" s="26"/>
      <c r="E755" s="26"/>
      <c r="F755" s="26"/>
      <c r="G755" s="26"/>
      <c r="H755" s="26"/>
      <c r="I755" s="26"/>
      <c r="J755" s="26"/>
      <c r="K755" s="26"/>
      <c r="L755" s="26"/>
      <c r="M755" s="26"/>
      <c r="N755" s="26"/>
      <c r="O755" s="26"/>
      <c r="P755" s="26"/>
      <c r="Q755" s="26"/>
      <c r="R755" s="26"/>
      <c r="S755" s="26"/>
      <c r="T755" s="26"/>
      <c r="U755" s="26"/>
      <c r="V755" s="26"/>
      <c r="W755" s="26"/>
    </row>
    <row r="756" spans="1:23">
      <c r="A756" s="26"/>
      <c r="B756" s="26"/>
      <c r="C756" s="26"/>
      <c r="D756" s="26"/>
      <c r="E756" s="26"/>
      <c r="F756" s="26"/>
      <c r="G756" s="26"/>
      <c r="H756" s="26"/>
      <c r="I756" s="26"/>
      <c r="J756" s="26"/>
      <c r="K756" s="26"/>
      <c r="L756" s="26"/>
      <c r="M756" s="26"/>
      <c r="N756" s="26"/>
      <c r="O756" s="26"/>
      <c r="P756" s="26"/>
      <c r="Q756" s="26"/>
      <c r="R756" s="26"/>
      <c r="S756" s="26"/>
      <c r="T756" s="26"/>
      <c r="U756" s="26"/>
      <c r="V756" s="26"/>
      <c r="W756" s="26"/>
    </row>
    <row r="757" spans="1:23">
      <c r="A757" s="26"/>
      <c r="B757" s="26"/>
      <c r="C757" s="26"/>
      <c r="D757" s="26"/>
      <c r="E757" s="26"/>
      <c r="F757" s="26"/>
      <c r="G757" s="26"/>
      <c r="H757" s="26"/>
      <c r="I757" s="26"/>
      <c r="J757" s="26"/>
      <c r="K757" s="26"/>
      <c r="L757" s="26"/>
      <c r="M757" s="26"/>
      <c r="N757" s="26"/>
      <c r="O757" s="26"/>
      <c r="P757" s="26"/>
      <c r="Q757" s="26"/>
      <c r="R757" s="26"/>
      <c r="S757" s="26"/>
      <c r="T757" s="26"/>
      <c r="U757" s="26"/>
      <c r="V757" s="26"/>
      <c r="W757" s="26"/>
    </row>
    <row r="758" spans="1:23">
      <c r="A758" s="26"/>
      <c r="B758" s="26"/>
      <c r="C758" s="26"/>
      <c r="D758" s="26"/>
      <c r="E758" s="26"/>
      <c r="F758" s="26"/>
      <c r="G758" s="26"/>
      <c r="H758" s="26"/>
      <c r="I758" s="26"/>
      <c r="J758" s="26"/>
      <c r="K758" s="26"/>
      <c r="L758" s="26"/>
      <c r="M758" s="26"/>
      <c r="N758" s="26"/>
      <c r="O758" s="26"/>
      <c r="P758" s="26"/>
      <c r="Q758" s="26"/>
      <c r="R758" s="26"/>
      <c r="S758" s="26"/>
      <c r="T758" s="26"/>
      <c r="U758" s="26"/>
      <c r="V758" s="26"/>
      <c r="W758" s="26"/>
    </row>
    <row r="759" spans="1:23">
      <c r="A759" s="26"/>
      <c r="B759" s="26"/>
      <c r="C759" s="26"/>
      <c r="D759" s="26"/>
      <c r="E759" s="26"/>
      <c r="F759" s="26"/>
      <c r="G759" s="26"/>
      <c r="H759" s="26"/>
      <c r="I759" s="26"/>
      <c r="J759" s="26"/>
      <c r="K759" s="26"/>
      <c r="L759" s="26"/>
      <c r="M759" s="26"/>
      <c r="N759" s="26"/>
      <c r="O759" s="26"/>
      <c r="P759" s="26"/>
      <c r="Q759" s="26"/>
      <c r="R759" s="26"/>
      <c r="S759" s="26"/>
      <c r="T759" s="26"/>
      <c r="U759" s="26"/>
      <c r="V759" s="26"/>
      <c r="W759" s="26"/>
    </row>
    <row r="760" spans="1:23">
      <c r="A760" s="26"/>
      <c r="B760" s="26"/>
      <c r="C760" s="26"/>
      <c r="D760" s="26"/>
      <c r="E760" s="26"/>
      <c r="F760" s="26"/>
      <c r="G760" s="26"/>
      <c r="H760" s="26"/>
      <c r="I760" s="26"/>
      <c r="J760" s="26"/>
      <c r="K760" s="26"/>
      <c r="L760" s="26"/>
      <c r="M760" s="26"/>
      <c r="N760" s="26"/>
      <c r="O760" s="26"/>
      <c r="P760" s="26"/>
      <c r="Q760" s="26"/>
      <c r="R760" s="26"/>
      <c r="S760" s="26"/>
      <c r="T760" s="26"/>
      <c r="U760" s="26"/>
      <c r="V760" s="26"/>
      <c r="W760" s="26"/>
    </row>
    <row r="761" spans="1:23">
      <c r="A761" s="26"/>
      <c r="B761" s="26"/>
      <c r="C761" s="26"/>
      <c r="D761" s="26"/>
      <c r="E761" s="26"/>
      <c r="F761" s="26"/>
      <c r="G761" s="26"/>
      <c r="H761" s="26"/>
      <c r="I761" s="26"/>
      <c r="J761" s="26"/>
      <c r="K761" s="26"/>
      <c r="L761" s="26"/>
      <c r="M761" s="26"/>
      <c r="N761" s="26"/>
      <c r="O761" s="26"/>
      <c r="P761" s="26"/>
      <c r="Q761" s="26"/>
      <c r="R761" s="26"/>
      <c r="S761" s="26"/>
      <c r="T761" s="26"/>
      <c r="U761" s="26"/>
      <c r="V761" s="26"/>
      <c r="W761" s="26"/>
    </row>
    <row r="762" spans="1:23">
      <c r="A762" s="26"/>
      <c r="B762" s="26"/>
      <c r="C762" s="26"/>
      <c r="D762" s="26"/>
      <c r="E762" s="26"/>
      <c r="F762" s="26"/>
      <c r="G762" s="26"/>
      <c r="H762" s="26"/>
      <c r="I762" s="26"/>
      <c r="J762" s="26"/>
      <c r="K762" s="26"/>
      <c r="L762" s="26"/>
      <c r="M762" s="26"/>
      <c r="N762" s="26"/>
      <c r="O762" s="26"/>
      <c r="P762" s="26"/>
      <c r="Q762" s="26"/>
      <c r="R762" s="26"/>
      <c r="S762" s="26"/>
      <c r="T762" s="26"/>
      <c r="U762" s="26"/>
      <c r="V762" s="26"/>
      <c r="W762" s="26"/>
    </row>
    <row r="763" spans="1:23">
      <c r="A763" s="26"/>
      <c r="B763" s="26"/>
      <c r="C763" s="26"/>
      <c r="D763" s="26"/>
      <c r="E763" s="26"/>
      <c r="F763" s="26"/>
      <c r="G763" s="26"/>
      <c r="H763" s="26"/>
      <c r="I763" s="26"/>
      <c r="J763" s="26"/>
      <c r="K763" s="26"/>
      <c r="L763" s="26"/>
      <c r="M763" s="26"/>
      <c r="N763" s="26"/>
      <c r="O763" s="26"/>
      <c r="P763" s="26"/>
      <c r="Q763" s="26"/>
      <c r="R763" s="26"/>
      <c r="S763" s="26"/>
      <c r="T763" s="26"/>
      <c r="U763" s="26"/>
      <c r="V763" s="26"/>
      <c r="W763" s="26"/>
    </row>
    <row r="764" spans="1:23">
      <c r="A764" s="26"/>
      <c r="B764" s="26"/>
      <c r="C764" s="26"/>
      <c r="D764" s="26"/>
      <c r="E764" s="26"/>
      <c r="F764" s="26"/>
      <c r="G764" s="26"/>
      <c r="H764" s="26"/>
      <c r="I764" s="26"/>
      <c r="J764" s="26"/>
      <c r="K764" s="26"/>
      <c r="L764" s="26"/>
      <c r="M764" s="26"/>
      <c r="N764" s="26"/>
      <c r="O764" s="26"/>
      <c r="P764" s="26"/>
      <c r="Q764" s="26"/>
      <c r="R764" s="26"/>
      <c r="S764" s="26"/>
      <c r="T764" s="26"/>
      <c r="U764" s="26"/>
      <c r="V764" s="26"/>
      <c r="W764" s="26"/>
    </row>
    <row r="765" spans="1:23">
      <c r="A765" s="26"/>
      <c r="B765" s="26"/>
      <c r="C765" s="26"/>
      <c r="D765" s="26"/>
      <c r="E765" s="26"/>
      <c r="F765" s="26"/>
      <c r="G765" s="26"/>
      <c r="H765" s="26"/>
      <c r="I765" s="26"/>
      <c r="J765" s="26"/>
      <c r="K765" s="26"/>
      <c r="L765" s="26"/>
      <c r="M765" s="26"/>
      <c r="N765" s="26"/>
      <c r="O765" s="26"/>
      <c r="P765" s="26"/>
      <c r="Q765" s="26"/>
      <c r="R765" s="26"/>
      <c r="S765" s="26"/>
      <c r="T765" s="26"/>
      <c r="U765" s="26"/>
      <c r="V765" s="26"/>
      <c r="W765" s="26"/>
    </row>
    <row r="766" spans="1:23">
      <c r="A766" s="26"/>
      <c r="B766" s="26"/>
      <c r="C766" s="26"/>
      <c r="D766" s="26"/>
      <c r="E766" s="26"/>
      <c r="F766" s="26"/>
      <c r="G766" s="26"/>
      <c r="H766" s="26"/>
      <c r="I766" s="26"/>
      <c r="J766" s="26"/>
      <c r="K766" s="26"/>
      <c r="L766" s="26"/>
      <c r="M766" s="26"/>
      <c r="N766" s="26"/>
      <c r="O766" s="26"/>
      <c r="P766" s="26"/>
      <c r="Q766" s="26"/>
      <c r="R766" s="26"/>
      <c r="S766" s="26"/>
      <c r="T766" s="26"/>
      <c r="U766" s="26"/>
      <c r="V766" s="26"/>
      <c r="W766" s="26"/>
    </row>
    <row r="767" spans="1:23">
      <c r="A767" s="26"/>
      <c r="B767" s="26"/>
      <c r="C767" s="26"/>
      <c r="D767" s="26"/>
      <c r="E767" s="26"/>
      <c r="F767" s="26"/>
      <c r="G767" s="26"/>
      <c r="H767" s="26"/>
      <c r="I767" s="26"/>
      <c r="J767" s="26"/>
      <c r="K767" s="26"/>
      <c r="L767" s="26"/>
      <c r="M767" s="26"/>
      <c r="N767" s="26"/>
      <c r="O767" s="26"/>
      <c r="P767" s="26"/>
      <c r="Q767" s="26"/>
      <c r="R767" s="26"/>
      <c r="S767" s="26"/>
      <c r="T767" s="26"/>
      <c r="U767" s="26"/>
      <c r="V767" s="26"/>
      <c r="W767" s="26"/>
    </row>
    <row r="768" spans="1:23">
      <c r="A768" s="26"/>
      <c r="B768" s="26"/>
      <c r="C768" s="26"/>
      <c r="D768" s="26"/>
      <c r="E768" s="26"/>
      <c r="F768" s="26"/>
      <c r="G768" s="26"/>
      <c r="H768" s="26"/>
      <c r="I768" s="26"/>
      <c r="J768" s="26"/>
      <c r="K768" s="26"/>
      <c r="L768" s="26"/>
      <c r="M768" s="26"/>
      <c r="N768" s="26"/>
      <c r="O768" s="26"/>
      <c r="P768" s="26"/>
      <c r="Q768" s="26"/>
      <c r="R768" s="26"/>
      <c r="S768" s="26"/>
      <c r="T768" s="26"/>
      <c r="U768" s="26"/>
      <c r="V768" s="26"/>
      <c r="W768" s="26"/>
    </row>
    <row r="769" spans="1:23">
      <c r="A769" s="26"/>
      <c r="B769" s="26"/>
      <c r="C769" s="26"/>
      <c r="D769" s="26"/>
      <c r="E769" s="26"/>
      <c r="F769" s="26"/>
      <c r="G769" s="26"/>
      <c r="H769" s="26"/>
      <c r="I769" s="26"/>
      <c r="J769" s="26"/>
      <c r="K769" s="26"/>
      <c r="L769" s="26"/>
      <c r="M769" s="26"/>
      <c r="N769" s="26"/>
      <c r="O769" s="26"/>
      <c r="P769" s="26"/>
      <c r="Q769" s="26"/>
      <c r="R769" s="26"/>
      <c r="S769" s="26"/>
      <c r="T769" s="26"/>
      <c r="U769" s="26"/>
      <c r="V769" s="26"/>
      <c r="W769" s="26"/>
    </row>
    <row r="770" spans="1:23">
      <c r="A770" s="26"/>
      <c r="B770" s="26"/>
      <c r="C770" s="26"/>
      <c r="D770" s="26"/>
      <c r="E770" s="26"/>
      <c r="F770" s="26"/>
      <c r="G770" s="26"/>
      <c r="H770" s="26"/>
      <c r="I770" s="26"/>
      <c r="J770" s="26"/>
      <c r="K770" s="26"/>
      <c r="L770" s="26"/>
      <c r="M770" s="26"/>
      <c r="N770" s="26"/>
      <c r="O770" s="26"/>
      <c r="P770" s="26"/>
      <c r="Q770" s="26"/>
      <c r="R770" s="26"/>
      <c r="S770" s="26"/>
      <c r="T770" s="26"/>
      <c r="U770" s="26"/>
      <c r="V770" s="26"/>
      <c r="W770" s="26"/>
    </row>
    <row r="771" spans="1:23">
      <c r="A771" s="26"/>
      <c r="B771" s="26"/>
      <c r="C771" s="26"/>
      <c r="D771" s="26"/>
      <c r="E771" s="26"/>
      <c r="F771" s="26"/>
      <c r="G771" s="26"/>
      <c r="H771" s="26"/>
      <c r="I771" s="26"/>
      <c r="J771" s="26"/>
      <c r="K771" s="26"/>
      <c r="L771" s="26"/>
      <c r="M771" s="26"/>
      <c r="N771" s="26"/>
      <c r="O771" s="26"/>
      <c r="P771" s="26"/>
      <c r="Q771" s="26"/>
      <c r="R771" s="26"/>
      <c r="S771" s="26"/>
      <c r="T771" s="26"/>
      <c r="U771" s="26"/>
      <c r="V771" s="26"/>
      <c r="W771" s="26"/>
    </row>
    <row r="772" spans="1:23">
      <c r="A772" s="26"/>
      <c r="B772" s="26"/>
      <c r="C772" s="26"/>
      <c r="D772" s="26"/>
      <c r="E772" s="26"/>
      <c r="F772" s="26"/>
      <c r="G772" s="26"/>
      <c r="H772" s="26"/>
      <c r="I772" s="26"/>
      <c r="J772" s="26"/>
      <c r="K772" s="26"/>
      <c r="L772" s="26"/>
      <c r="M772" s="26"/>
      <c r="N772" s="26"/>
      <c r="O772" s="26"/>
      <c r="P772" s="26"/>
      <c r="Q772" s="26"/>
      <c r="R772" s="26"/>
      <c r="S772" s="26"/>
      <c r="T772" s="26"/>
      <c r="U772" s="26"/>
      <c r="V772" s="26"/>
      <c r="W772" s="26"/>
    </row>
    <row r="773" spans="1:23">
      <c r="A773" s="26"/>
      <c r="B773" s="26"/>
      <c r="C773" s="26"/>
      <c r="D773" s="26"/>
      <c r="E773" s="26"/>
      <c r="F773" s="26"/>
      <c r="G773" s="26"/>
      <c r="H773" s="26"/>
      <c r="I773" s="26"/>
      <c r="J773" s="26"/>
      <c r="K773" s="26"/>
      <c r="L773" s="26"/>
      <c r="M773" s="26"/>
      <c r="N773" s="26"/>
      <c r="O773" s="26"/>
      <c r="P773" s="26"/>
      <c r="Q773" s="26"/>
      <c r="R773" s="26"/>
      <c r="S773" s="26"/>
      <c r="T773" s="26"/>
      <c r="U773" s="26"/>
      <c r="V773" s="26"/>
      <c r="W773" s="26"/>
    </row>
    <row r="774" spans="1:23">
      <c r="A774" s="26"/>
      <c r="B774" s="26"/>
      <c r="C774" s="26"/>
      <c r="D774" s="26"/>
      <c r="E774" s="26"/>
      <c r="F774" s="26"/>
      <c r="G774" s="26"/>
      <c r="H774" s="26"/>
      <c r="I774" s="26"/>
      <c r="J774" s="26"/>
      <c r="K774" s="26"/>
      <c r="L774" s="26"/>
      <c r="M774" s="26"/>
      <c r="N774" s="26"/>
      <c r="O774" s="26"/>
      <c r="P774" s="26"/>
      <c r="Q774" s="26"/>
      <c r="R774" s="26"/>
      <c r="S774" s="26"/>
      <c r="T774" s="26"/>
      <c r="U774" s="26"/>
      <c r="V774" s="26"/>
      <c r="W774" s="26"/>
    </row>
    <row r="775" spans="1:23">
      <c r="A775" s="26"/>
      <c r="B775" s="26"/>
      <c r="C775" s="26"/>
      <c r="D775" s="26"/>
      <c r="E775" s="26"/>
      <c r="F775" s="26"/>
      <c r="G775" s="26"/>
      <c r="H775" s="26"/>
      <c r="I775" s="26"/>
      <c r="J775" s="26"/>
      <c r="K775" s="26"/>
      <c r="L775" s="26"/>
      <c r="M775" s="26"/>
      <c r="N775" s="26"/>
      <c r="O775" s="26"/>
      <c r="P775" s="26"/>
      <c r="Q775" s="26"/>
      <c r="R775" s="26"/>
      <c r="S775" s="26"/>
      <c r="T775" s="26"/>
      <c r="U775" s="26"/>
      <c r="V775" s="26"/>
      <c r="W775" s="26"/>
    </row>
    <row r="776" spans="1:23">
      <c r="A776" s="26"/>
      <c r="B776" s="26"/>
      <c r="C776" s="26"/>
      <c r="D776" s="26"/>
      <c r="E776" s="26"/>
      <c r="F776" s="26"/>
      <c r="G776" s="26"/>
      <c r="H776" s="26"/>
      <c r="I776" s="26"/>
      <c r="J776" s="26"/>
      <c r="K776" s="26"/>
      <c r="L776" s="26"/>
      <c r="M776" s="26"/>
      <c r="N776" s="26"/>
      <c r="O776" s="26"/>
      <c r="P776" s="26"/>
      <c r="Q776" s="26"/>
      <c r="R776" s="26"/>
      <c r="S776" s="26"/>
      <c r="T776" s="26"/>
      <c r="U776" s="26"/>
      <c r="V776" s="26"/>
      <c r="W776" s="26"/>
    </row>
    <row r="777" spans="1:23">
      <c r="A777" s="26"/>
      <c r="B777" s="26"/>
      <c r="C777" s="26"/>
      <c r="D777" s="26"/>
      <c r="E777" s="26"/>
      <c r="F777" s="26"/>
      <c r="G777" s="26"/>
      <c r="H777" s="26"/>
      <c r="I777" s="26"/>
      <c r="J777" s="26"/>
      <c r="K777" s="26"/>
      <c r="L777" s="26"/>
      <c r="M777" s="26"/>
      <c r="N777" s="26"/>
      <c r="O777" s="26"/>
      <c r="P777" s="26"/>
      <c r="Q777" s="26"/>
      <c r="R777" s="26"/>
      <c r="S777" s="26"/>
      <c r="T777" s="26"/>
      <c r="U777" s="26"/>
      <c r="V777" s="26"/>
      <c r="W777" s="26"/>
    </row>
    <row r="778" spans="1:23">
      <c r="A778" s="26"/>
      <c r="B778" s="26"/>
      <c r="C778" s="26"/>
      <c r="D778" s="26"/>
      <c r="E778" s="26"/>
      <c r="F778" s="26"/>
      <c r="G778" s="26"/>
      <c r="H778" s="26"/>
      <c r="I778" s="26"/>
      <c r="J778" s="26"/>
      <c r="K778" s="26"/>
      <c r="L778" s="26"/>
      <c r="M778" s="26"/>
      <c r="N778" s="26"/>
      <c r="O778" s="26"/>
      <c r="P778" s="26"/>
      <c r="Q778" s="26"/>
      <c r="R778" s="26"/>
      <c r="S778" s="26"/>
      <c r="T778" s="26"/>
      <c r="U778" s="26"/>
      <c r="V778" s="26"/>
      <c r="W778" s="26"/>
    </row>
    <row r="779" spans="1:23">
      <c r="A779" s="26"/>
      <c r="B779" s="26"/>
      <c r="C779" s="26"/>
      <c r="D779" s="26"/>
      <c r="E779" s="26"/>
      <c r="F779" s="26"/>
      <c r="G779" s="26"/>
      <c r="H779" s="26"/>
      <c r="I779" s="26"/>
      <c r="J779" s="26"/>
      <c r="K779" s="26"/>
      <c r="L779" s="26"/>
      <c r="M779" s="26"/>
      <c r="N779" s="26"/>
      <c r="O779" s="26"/>
      <c r="P779" s="26"/>
      <c r="Q779" s="26"/>
      <c r="R779" s="26"/>
      <c r="S779" s="26"/>
      <c r="T779" s="26"/>
      <c r="U779" s="26"/>
      <c r="V779" s="26"/>
      <c r="W779" s="26"/>
    </row>
    <row r="780" spans="1:23">
      <c r="A780" s="26"/>
      <c r="B780" s="26"/>
      <c r="C780" s="26"/>
      <c r="D780" s="26"/>
      <c r="E780" s="26"/>
      <c r="F780" s="26"/>
      <c r="G780" s="26"/>
      <c r="H780" s="26"/>
      <c r="I780" s="26"/>
      <c r="J780" s="26"/>
      <c r="K780" s="26"/>
      <c r="L780" s="26"/>
      <c r="M780" s="26"/>
      <c r="N780" s="26"/>
      <c r="O780" s="26"/>
      <c r="P780" s="26"/>
      <c r="Q780" s="26"/>
      <c r="R780" s="26"/>
      <c r="S780" s="26"/>
      <c r="T780" s="26"/>
      <c r="U780" s="26"/>
      <c r="V780" s="26"/>
      <c r="W780" s="26"/>
    </row>
    <row r="781" spans="1:23">
      <c r="A781" s="26"/>
      <c r="B781" s="26"/>
      <c r="C781" s="26"/>
      <c r="D781" s="26"/>
      <c r="E781" s="26"/>
      <c r="F781" s="26"/>
      <c r="G781" s="26"/>
      <c r="H781" s="26"/>
      <c r="I781" s="26"/>
      <c r="J781" s="26"/>
      <c r="K781" s="26"/>
      <c r="L781" s="26"/>
      <c r="M781" s="26"/>
      <c r="N781" s="26"/>
      <c r="O781" s="26"/>
      <c r="P781" s="26"/>
      <c r="Q781" s="26"/>
      <c r="R781" s="26"/>
      <c r="S781" s="26"/>
      <c r="T781" s="26"/>
      <c r="U781" s="26"/>
      <c r="V781" s="26"/>
      <c r="W781" s="26"/>
    </row>
    <row r="782" spans="1:23">
      <c r="A782" s="26"/>
      <c r="B782" s="26"/>
      <c r="C782" s="26"/>
      <c r="D782" s="26"/>
      <c r="E782" s="26"/>
      <c r="F782" s="26"/>
      <c r="G782" s="26"/>
      <c r="H782" s="26"/>
      <c r="I782" s="26"/>
      <c r="J782" s="26"/>
      <c r="K782" s="26"/>
      <c r="L782" s="26"/>
      <c r="M782" s="26"/>
      <c r="N782" s="26"/>
      <c r="O782" s="26"/>
      <c r="P782" s="26"/>
      <c r="Q782" s="26"/>
      <c r="R782" s="26"/>
      <c r="S782" s="26"/>
      <c r="T782" s="26"/>
      <c r="U782" s="26"/>
      <c r="V782" s="26"/>
      <c r="W782" s="26"/>
    </row>
    <row r="783" spans="1:23">
      <c r="A783" s="26"/>
      <c r="B783" s="26"/>
      <c r="C783" s="26"/>
      <c r="D783" s="26"/>
      <c r="E783" s="26"/>
      <c r="F783" s="26"/>
      <c r="G783" s="26"/>
      <c r="H783" s="26"/>
      <c r="I783" s="26"/>
      <c r="J783" s="26"/>
      <c r="K783" s="26"/>
      <c r="L783" s="26"/>
      <c r="M783" s="26"/>
      <c r="N783" s="26"/>
      <c r="O783" s="26"/>
      <c r="P783" s="26"/>
      <c r="Q783" s="26"/>
      <c r="R783" s="26"/>
      <c r="S783" s="26"/>
      <c r="T783" s="26"/>
      <c r="U783" s="26"/>
      <c r="V783" s="26"/>
      <c r="W783" s="26"/>
    </row>
    <row r="784" spans="1:23">
      <c r="A784" s="26"/>
      <c r="B784" s="26"/>
      <c r="C784" s="26"/>
      <c r="D784" s="26"/>
      <c r="E784" s="26"/>
      <c r="F784" s="26"/>
      <c r="G784" s="26"/>
      <c r="H784" s="26"/>
      <c r="I784" s="26"/>
      <c r="J784" s="26"/>
      <c r="K784" s="26"/>
      <c r="L784" s="26"/>
      <c r="M784" s="26"/>
      <c r="N784" s="26"/>
      <c r="O784" s="26"/>
      <c r="P784" s="26"/>
      <c r="Q784" s="26"/>
      <c r="R784" s="26"/>
      <c r="S784" s="26"/>
      <c r="T784" s="26"/>
      <c r="U784" s="26"/>
      <c r="V784" s="26"/>
      <c r="W784" s="26"/>
    </row>
    <row r="785" spans="1:23">
      <c r="A785" s="26"/>
      <c r="B785" s="26"/>
      <c r="C785" s="26"/>
      <c r="D785" s="26"/>
      <c r="E785" s="26"/>
      <c r="F785" s="26"/>
      <c r="G785" s="26"/>
      <c r="H785" s="26"/>
      <c r="I785" s="26"/>
      <c r="J785" s="26"/>
      <c r="K785" s="26"/>
      <c r="L785" s="26"/>
      <c r="M785" s="26"/>
      <c r="N785" s="26"/>
      <c r="O785" s="26"/>
      <c r="P785" s="26"/>
      <c r="Q785" s="26"/>
      <c r="R785" s="26"/>
      <c r="S785" s="26"/>
      <c r="T785" s="26"/>
      <c r="U785" s="26"/>
      <c r="V785" s="26"/>
      <c r="W785" s="26"/>
    </row>
    <row r="786" spans="1:23">
      <c r="A786" s="26"/>
      <c r="B786" s="26"/>
      <c r="C786" s="26"/>
      <c r="D786" s="26"/>
      <c r="E786" s="26"/>
      <c r="F786" s="26"/>
      <c r="G786" s="26"/>
      <c r="H786" s="26"/>
      <c r="I786" s="26"/>
      <c r="J786" s="26"/>
      <c r="K786" s="26"/>
      <c r="L786" s="26"/>
      <c r="M786" s="26"/>
      <c r="N786" s="26"/>
      <c r="O786" s="26"/>
      <c r="P786" s="26"/>
      <c r="Q786" s="26"/>
      <c r="R786" s="26"/>
      <c r="S786" s="26"/>
      <c r="T786" s="26"/>
      <c r="U786" s="26"/>
      <c r="V786" s="26"/>
      <c r="W786" s="26"/>
    </row>
    <row r="787" spans="1:23">
      <c r="A787" s="26"/>
      <c r="B787" s="26"/>
      <c r="C787" s="26"/>
      <c r="D787" s="26"/>
      <c r="E787" s="26"/>
      <c r="F787" s="26"/>
      <c r="G787" s="26"/>
      <c r="H787" s="26"/>
      <c r="I787" s="26"/>
      <c r="J787" s="26"/>
      <c r="K787" s="26"/>
      <c r="L787" s="26"/>
      <c r="M787" s="26"/>
      <c r="N787" s="26"/>
      <c r="O787" s="26"/>
      <c r="P787" s="26"/>
      <c r="Q787" s="26"/>
      <c r="R787" s="26"/>
      <c r="S787" s="26"/>
      <c r="T787" s="26"/>
      <c r="U787" s="26"/>
      <c r="V787" s="26"/>
      <c r="W787" s="26"/>
    </row>
    <row r="788" spans="1:23">
      <c r="A788" s="26"/>
      <c r="B788" s="26"/>
      <c r="C788" s="26"/>
      <c r="D788" s="26"/>
      <c r="E788" s="26"/>
      <c r="F788" s="26"/>
      <c r="G788" s="26"/>
      <c r="H788" s="26"/>
      <c r="I788" s="26"/>
      <c r="J788" s="26"/>
      <c r="K788" s="26"/>
      <c r="L788" s="26"/>
      <c r="M788" s="26"/>
      <c r="N788" s="26"/>
      <c r="O788" s="26"/>
      <c r="P788" s="26"/>
      <c r="Q788" s="26"/>
      <c r="R788" s="26"/>
      <c r="S788" s="26"/>
      <c r="T788" s="26"/>
      <c r="U788" s="26"/>
      <c r="V788" s="26"/>
      <c r="W788" s="26"/>
    </row>
    <row r="789" spans="1:23">
      <c r="A789" s="26"/>
      <c r="B789" s="26"/>
      <c r="C789" s="26"/>
      <c r="D789" s="26"/>
      <c r="E789" s="26"/>
      <c r="F789" s="26"/>
      <c r="G789" s="26"/>
      <c r="H789" s="26"/>
      <c r="I789" s="26"/>
      <c r="J789" s="26"/>
      <c r="K789" s="26"/>
      <c r="L789" s="26"/>
      <c r="M789" s="26"/>
      <c r="N789" s="26"/>
      <c r="O789" s="26"/>
      <c r="P789" s="26"/>
      <c r="Q789" s="26"/>
      <c r="R789" s="26"/>
      <c r="S789" s="26"/>
      <c r="T789" s="26"/>
      <c r="U789" s="26"/>
      <c r="V789" s="26"/>
      <c r="W789" s="26"/>
    </row>
    <row r="790" spans="1:23">
      <c r="A790" s="26"/>
      <c r="B790" s="26"/>
      <c r="C790" s="26"/>
      <c r="D790" s="26"/>
      <c r="E790" s="26"/>
      <c r="F790" s="26"/>
      <c r="G790" s="26"/>
      <c r="H790" s="26"/>
      <c r="I790" s="26"/>
      <c r="J790" s="26"/>
      <c r="K790" s="26"/>
      <c r="L790" s="26"/>
      <c r="M790" s="26"/>
      <c r="N790" s="26"/>
      <c r="O790" s="26"/>
      <c r="P790" s="26"/>
      <c r="Q790" s="26"/>
      <c r="R790" s="26"/>
      <c r="S790" s="26"/>
      <c r="T790" s="26"/>
      <c r="U790" s="26"/>
      <c r="V790" s="26"/>
      <c r="W790" s="26"/>
    </row>
    <row r="791" spans="1:23">
      <c r="A791" s="26"/>
      <c r="B791" s="26"/>
      <c r="C791" s="26"/>
      <c r="D791" s="26"/>
      <c r="E791" s="26"/>
      <c r="F791" s="26"/>
      <c r="G791" s="26"/>
      <c r="H791" s="26"/>
      <c r="I791" s="26"/>
      <c r="J791" s="26"/>
      <c r="K791" s="26"/>
      <c r="L791" s="26"/>
      <c r="M791" s="26"/>
      <c r="N791" s="26"/>
      <c r="O791" s="26"/>
      <c r="P791" s="26"/>
      <c r="Q791" s="26"/>
      <c r="R791" s="26"/>
      <c r="S791" s="26"/>
      <c r="T791" s="26"/>
      <c r="U791" s="26"/>
      <c r="V791" s="26"/>
      <c r="W791" s="26"/>
    </row>
    <row r="792" spans="1:23">
      <c r="A792" s="26"/>
      <c r="B792" s="26"/>
      <c r="C792" s="26"/>
      <c r="D792" s="26"/>
      <c r="E792" s="26"/>
      <c r="F792" s="26"/>
      <c r="G792" s="26"/>
      <c r="H792" s="26"/>
      <c r="I792" s="26"/>
      <c r="J792" s="26"/>
      <c r="K792" s="26"/>
      <c r="L792" s="26"/>
      <c r="M792" s="26"/>
      <c r="N792" s="26"/>
      <c r="O792" s="26"/>
      <c r="P792" s="26"/>
      <c r="Q792" s="26"/>
      <c r="R792" s="26"/>
      <c r="S792" s="26"/>
      <c r="T792" s="26"/>
      <c r="U792" s="26"/>
      <c r="V792" s="26"/>
      <c r="W792" s="26"/>
    </row>
    <row r="793" spans="1:23">
      <c r="A793" s="26"/>
      <c r="B793" s="26"/>
      <c r="C793" s="26"/>
      <c r="D793" s="26"/>
      <c r="E793" s="26"/>
      <c r="F793" s="26"/>
      <c r="G793" s="26"/>
      <c r="H793" s="26"/>
      <c r="I793" s="26"/>
      <c r="J793" s="26"/>
      <c r="K793" s="26"/>
      <c r="L793" s="26"/>
      <c r="M793" s="26"/>
      <c r="N793" s="26"/>
      <c r="O793" s="26"/>
      <c r="P793" s="26"/>
      <c r="Q793" s="26"/>
      <c r="R793" s="26"/>
      <c r="S793" s="26"/>
      <c r="T793" s="26"/>
      <c r="U793" s="26"/>
      <c r="V793" s="26"/>
      <c r="W793" s="26"/>
    </row>
    <row r="794" spans="1:23">
      <c r="A794" s="26"/>
      <c r="B794" s="26"/>
      <c r="C794" s="26"/>
      <c r="D794" s="26"/>
      <c r="E794" s="26"/>
      <c r="F794" s="26"/>
      <c r="G794" s="26"/>
      <c r="H794" s="26"/>
      <c r="I794" s="26"/>
      <c r="J794" s="26"/>
      <c r="K794" s="26"/>
      <c r="L794" s="26"/>
      <c r="M794" s="26"/>
      <c r="N794" s="26"/>
      <c r="O794" s="26"/>
      <c r="P794" s="26"/>
      <c r="Q794" s="26"/>
      <c r="R794" s="26"/>
      <c r="S794" s="26"/>
      <c r="T794" s="26"/>
      <c r="U794" s="26"/>
      <c r="V794" s="26"/>
      <c r="W794" s="26"/>
    </row>
    <row r="795" spans="1:23">
      <c r="A795" s="26"/>
      <c r="B795" s="26"/>
      <c r="C795" s="26"/>
      <c r="D795" s="26"/>
      <c r="E795" s="26"/>
      <c r="F795" s="26"/>
      <c r="G795" s="26"/>
      <c r="H795" s="26"/>
      <c r="I795" s="26"/>
      <c r="J795" s="26"/>
      <c r="K795" s="26"/>
      <c r="L795" s="26"/>
      <c r="M795" s="26"/>
      <c r="N795" s="26"/>
      <c r="O795" s="26"/>
      <c r="P795" s="26"/>
      <c r="Q795" s="26"/>
      <c r="R795" s="26"/>
      <c r="S795" s="26"/>
      <c r="T795" s="26"/>
      <c r="U795" s="26"/>
      <c r="V795" s="26"/>
      <c r="W795" s="26"/>
    </row>
    <row r="796" spans="1:23">
      <c r="A796" s="26"/>
      <c r="B796" s="26"/>
      <c r="C796" s="26"/>
      <c r="D796" s="26"/>
      <c r="E796" s="26"/>
      <c r="F796" s="26"/>
      <c r="G796" s="26"/>
      <c r="H796" s="26"/>
      <c r="I796" s="26"/>
      <c r="J796" s="26"/>
      <c r="K796" s="26"/>
      <c r="L796" s="26"/>
      <c r="M796" s="26"/>
      <c r="N796" s="26"/>
      <c r="O796" s="26"/>
      <c r="P796" s="26"/>
      <c r="Q796" s="26"/>
      <c r="R796" s="26"/>
      <c r="S796" s="26"/>
      <c r="T796" s="26"/>
      <c r="U796" s="26"/>
      <c r="V796" s="26"/>
      <c r="W796" s="26"/>
    </row>
    <row r="797" spans="1:23">
      <c r="A797" s="26"/>
      <c r="B797" s="26"/>
      <c r="C797" s="26"/>
      <c r="D797" s="26"/>
      <c r="E797" s="26"/>
      <c r="F797" s="26"/>
      <c r="G797" s="26"/>
      <c r="H797" s="26"/>
      <c r="I797" s="26"/>
      <c r="J797" s="26"/>
      <c r="K797" s="26"/>
      <c r="L797" s="26"/>
      <c r="M797" s="26"/>
      <c r="N797" s="26"/>
      <c r="O797" s="26"/>
      <c r="P797" s="26"/>
      <c r="Q797" s="26"/>
      <c r="R797" s="26"/>
      <c r="S797" s="26"/>
      <c r="T797" s="26"/>
      <c r="U797" s="26"/>
      <c r="V797" s="26"/>
      <c r="W797" s="26"/>
    </row>
    <row r="798" spans="1:23">
      <c r="A798" s="26"/>
      <c r="B798" s="26"/>
      <c r="C798" s="26"/>
      <c r="D798" s="26"/>
      <c r="E798" s="26"/>
      <c r="F798" s="26"/>
      <c r="G798" s="26"/>
      <c r="H798" s="26"/>
      <c r="I798" s="26"/>
      <c r="J798" s="26"/>
      <c r="K798" s="26"/>
      <c r="L798" s="26"/>
      <c r="M798" s="26"/>
      <c r="N798" s="26"/>
      <c r="O798" s="26"/>
      <c r="P798" s="26"/>
      <c r="Q798" s="26"/>
      <c r="R798" s="26"/>
      <c r="S798" s="26"/>
      <c r="T798" s="26"/>
      <c r="U798" s="26"/>
      <c r="V798" s="26"/>
      <c r="W798" s="26"/>
    </row>
    <row r="799" spans="1:23">
      <c r="A799" s="26"/>
      <c r="B799" s="26"/>
      <c r="C799" s="26"/>
      <c r="D799" s="26"/>
      <c r="E799" s="26"/>
      <c r="F799" s="26"/>
      <c r="G799" s="26"/>
      <c r="H799" s="26"/>
      <c r="I799" s="26"/>
      <c r="J799" s="26"/>
      <c r="K799" s="26"/>
      <c r="L799" s="26"/>
      <c r="M799" s="26"/>
      <c r="N799" s="26"/>
      <c r="O799" s="26"/>
      <c r="P799" s="26"/>
      <c r="Q799" s="26"/>
      <c r="R799" s="26"/>
      <c r="S799" s="26"/>
      <c r="T799" s="26"/>
      <c r="U799" s="26"/>
      <c r="V799" s="26"/>
      <c r="W799" s="26"/>
    </row>
    <row r="800" spans="1:23">
      <c r="A800" s="26"/>
      <c r="B800" s="26"/>
      <c r="C800" s="26"/>
      <c r="D800" s="26"/>
      <c r="E800" s="26"/>
      <c r="F800" s="26"/>
      <c r="G800" s="26"/>
      <c r="H800" s="26"/>
      <c r="I800" s="26"/>
      <c r="J800" s="26"/>
      <c r="K800" s="26"/>
      <c r="L800" s="26"/>
      <c r="M800" s="26"/>
      <c r="N800" s="26"/>
      <c r="O800" s="26"/>
      <c r="P800" s="26"/>
      <c r="Q800" s="26"/>
      <c r="R800" s="26"/>
      <c r="S800" s="26"/>
      <c r="T800" s="26"/>
      <c r="U800" s="26"/>
      <c r="V800" s="26"/>
      <c r="W800" s="26"/>
    </row>
    <row r="801" spans="1:23">
      <c r="A801" s="26"/>
      <c r="B801" s="26"/>
      <c r="C801" s="26"/>
      <c r="D801" s="26"/>
      <c r="E801" s="26"/>
      <c r="F801" s="26"/>
      <c r="G801" s="26"/>
      <c r="H801" s="26"/>
      <c r="I801" s="26"/>
      <c r="J801" s="26"/>
      <c r="K801" s="26"/>
      <c r="L801" s="26"/>
      <c r="M801" s="26"/>
      <c r="N801" s="26"/>
      <c r="O801" s="26"/>
      <c r="P801" s="26"/>
      <c r="Q801" s="26"/>
      <c r="R801" s="26"/>
      <c r="S801" s="26"/>
      <c r="T801" s="26"/>
      <c r="U801" s="26"/>
      <c r="V801" s="26"/>
      <c r="W801" s="26"/>
    </row>
    <row r="802" spans="1:23">
      <c r="A802" s="26"/>
      <c r="B802" s="26"/>
      <c r="C802" s="26"/>
      <c r="D802" s="26"/>
      <c r="E802" s="26"/>
      <c r="F802" s="26"/>
      <c r="G802" s="26"/>
      <c r="H802" s="26"/>
      <c r="I802" s="26"/>
      <c r="J802" s="26"/>
      <c r="K802" s="26"/>
      <c r="L802" s="26"/>
      <c r="M802" s="26"/>
      <c r="N802" s="26"/>
      <c r="O802" s="26"/>
      <c r="P802" s="26"/>
      <c r="Q802" s="26"/>
      <c r="R802" s="26"/>
      <c r="S802" s="26"/>
      <c r="T802" s="26"/>
      <c r="U802" s="26"/>
      <c r="V802" s="26"/>
      <c r="W802" s="26"/>
    </row>
    <row r="803" spans="1:23">
      <c r="A803" s="26"/>
      <c r="B803" s="26"/>
      <c r="C803" s="26"/>
      <c r="D803" s="26"/>
      <c r="E803" s="26"/>
      <c r="F803" s="26"/>
      <c r="G803" s="26"/>
      <c r="H803" s="26"/>
      <c r="I803" s="26"/>
      <c r="J803" s="26"/>
      <c r="K803" s="26"/>
      <c r="L803" s="26"/>
      <c r="M803" s="26"/>
      <c r="N803" s="26"/>
      <c r="O803" s="26"/>
      <c r="P803" s="26"/>
      <c r="Q803" s="26"/>
      <c r="R803" s="26"/>
      <c r="S803" s="26"/>
      <c r="T803" s="26"/>
      <c r="U803" s="26"/>
      <c r="V803" s="26"/>
      <c r="W803" s="26"/>
    </row>
    <row r="804" spans="1:23">
      <c r="A804" s="26"/>
      <c r="B804" s="26"/>
      <c r="C804" s="26"/>
      <c r="D804" s="26"/>
      <c r="E804" s="26"/>
      <c r="F804" s="26"/>
      <c r="G804" s="26"/>
      <c r="H804" s="26"/>
      <c r="I804" s="26"/>
      <c r="J804" s="26"/>
      <c r="K804" s="26"/>
      <c r="L804" s="26"/>
      <c r="M804" s="26"/>
      <c r="N804" s="26"/>
      <c r="O804" s="26"/>
      <c r="P804" s="26"/>
      <c r="Q804" s="26"/>
      <c r="R804" s="26"/>
      <c r="S804" s="26"/>
      <c r="T804" s="26"/>
      <c r="U804" s="26"/>
      <c r="V804" s="26"/>
      <c r="W804" s="26"/>
    </row>
    <row r="805" spans="1:23">
      <c r="A805" s="26"/>
      <c r="B805" s="26"/>
      <c r="C805" s="26"/>
      <c r="D805" s="26"/>
      <c r="E805" s="26"/>
      <c r="F805" s="26"/>
      <c r="G805" s="26"/>
      <c r="H805" s="26"/>
      <c r="I805" s="26"/>
      <c r="J805" s="26"/>
      <c r="K805" s="26"/>
      <c r="L805" s="26"/>
      <c r="M805" s="26"/>
      <c r="N805" s="26"/>
      <c r="O805" s="26"/>
      <c r="P805" s="26"/>
      <c r="Q805" s="26"/>
      <c r="R805" s="26"/>
      <c r="S805" s="26"/>
      <c r="T805" s="26"/>
      <c r="U805" s="26"/>
      <c r="V805" s="26"/>
      <c r="W805" s="26"/>
    </row>
    <row r="806" spans="1:23">
      <c r="A806" s="26"/>
      <c r="B806" s="26"/>
      <c r="C806" s="26"/>
      <c r="D806" s="26"/>
      <c r="E806" s="26"/>
      <c r="F806" s="26"/>
      <c r="G806" s="26"/>
      <c r="H806" s="26"/>
      <c r="I806" s="26"/>
      <c r="J806" s="26"/>
      <c r="K806" s="26"/>
      <c r="L806" s="26"/>
      <c r="M806" s="26"/>
      <c r="N806" s="26"/>
      <c r="O806" s="26"/>
      <c r="P806" s="26"/>
      <c r="Q806" s="26"/>
      <c r="R806" s="26"/>
      <c r="S806" s="26"/>
      <c r="T806" s="26"/>
      <c r="U806" s="26"/>
      <c r="V806" s="26"/>
      <c r="W806" s="26"/>
    </row>
    <row r="807" spans="1:23">
      <c r="A807" s="26"/>
      <c r="B807" s="26"/>
      <c r="C807" s="26"/>
      <c r="D807" s="26"/>
      <c r="E807" s="26"/>
      <c r="F807" s="26"/>
      <c r="G807" s="26"/>
      <c r="H807" s="26"/>
      <c r="I807" s="26"/>
      <c r="J807" s="26"/>
      <c r="K807" s="26"/>
      <c r="L807" s="26"/>
      <c r="M807" s="26"/>
      <c r="N807" s="26"/>
      <c r="O807" s="26"/>
      <c r="P807" s="26"/>
      <c r="Q807" s="26"/>
      <c r="R807" s="26"/>
      <c r="S807" s="26"/>
      <c r="T807" s="26"/>
      <c r="U807" s="26"/>
      <c r="V807" s="26"/>
      <c r="W807" s="26"/>
    </row>
    <row r="808" spans="1:23">
      <c r="A808" s="26"/>
      <c r="B808" s="26"/>
      <c r="C808" s="26"/>
      <c r="D808" s="26"/>
      <c r="E808" s="26"/>
      <c r="F808" s="26"/>
      <c r="G808" s="26"/>
      <c r="H808" s="26"/>
      <c r="I808" s="26"/>
      <c r="J808" s="26"/>
      <c r="K808" s="26"/>
      <c r="L808" s="26"/>
      <c r="M808" s="26"/>
      <c r="N808" s="26"/>
      <c r="O808" s="26"/>
      <c r="P808" s="26"/>
      <c r="Q808" s="26"/>
      <c r="R808" s="26"/>
      <c r="S808" s="26"/>
      <c r="T808" s="26"/>
      <c r="U808" s="26"/>
      <c r="V808" s="26"/>
      <c r="W808" s="26"/>
    </row>
    <row r="809" spans="1:23">
      <c r="A809" s="26"/>
      <c r="B809" s="26"/>
      <c r="C809" s="26"/>
      <c r="D809" s="26"/>
      <c r="E809" s="26"/>
      <c r="F809" s="26"/>
      <c r="G809" s="26"/>
      <c r="H809" s="26"/>
      <c r="I809" s="26"/>
      <c r="J809" s="26"/>
      <c r="K809" s="26"/>
      <c r="L809" s="26"/>
      <c r="M809" s="26"/>
      <c r="N809" s="26"/>
      <c r="O809" s="26"/>
      <c r="P809" s="26"/>
      <c r="Q809" s="26"/>
      <c r="R809" s="26"/>
      <c r="S809" s="26"/>
      <c r="T809" s="26"/>
      <c r="U809" s="26"/>
      <c r="V809" s="26"/>
      <c r="W809" s="26"/>
    </row>
    <row r="810" spans="1:23">
      <c r="A810" s="26"/>
      <c r="B810" s="26"/>
      <c r="C810" s="26"/>
      <c r="D810" s="26"/>
      <c r="E810" s="26"/>
      <c r="F810" s="26"/>
      <c r="G810" s="26"/>
      <c r="H810" s="26"/>
      <c r="I810" s="26"/>
      <c r="J810" s="26"/>
      <c r="K810" s="26"/>
      <c r="L810" s="26"/>
      <c r="M810" s="26"/>
      <c r="N810" s="26"/>
      <c r="O810" s="26"/>
      <c r="P810" s="26"/>
      <c r="Q810" s="26"/>
      <c r="R810" s="26"/>
      <c r="S810" s="26"/>
      <c r="T810" s="26"/>
      <c r="U810" s="26"/>
      <c r="V810" s="26"/>
      <c r="W810" s="26"/>
    </row>
    <row r="811" spans="1:23">
      <c r="A811" s="26"/>
      <c r="B811" s="26"/>
      <c r="C811" s="26"/>
      <c r="D811" s="26"/>
      <c r="E811" s="26"/>
      <c r="F811" s="26"/>
      <c r="G811" s="26"/>
      <c r="H811" s="26"/>
      <c r="I811" s="26"/>
      <c r="J811" s="26"/>
      <c r="K811" s="26"/>
      <c r="L811" s="26"/>
      <c r="M811" s="26"/>
      <c r="N811" s="26"/>
      <c r="O811" s="26"/>
      <c r="P811" s="26"/>
      <c r="Q811" s="26"/>
      <c r="R811" s="26"/>
      <c r="S811" s="26"/>
      <c r="T811" s="26"/>
      <c r="U811" s="26"/>
      <c r="V811" s="26"/>
      <c r="W811" s="26"/>
    </row>
    <row r="812" spans="1:23">
      <c r="A812" s="26"/>
      <c r="B812" s="26"/>
      <c r="C812" s="26"/>
      <c r="D812" s="26"/>
      <c r="E812" s="26"/>
      <c r="F812" s="26"/>
      <c r="G812" s="26"/>
      <c r="H812" s="26"/>
      <c r="I812" s="26"/>
      <c r="J812" s="26"/>
      <c r="K812" s="26"/>
      <c r="L812" s="26"/>
      <c r="M812" s="26"/>
      <c r="N812" s="26"/>
      <c r="O812" s="26"/>
      <c r="P812" s="26"/>
      <c r="Q812" s="26"/>
      <c r="R812" s="26"/>
      <c r="S812" s="26"/>
      <c r="T812" s="26"/>
      <c r="U812" s="26"/>
      <c r="V812" s="26"/>
      <c r="W812" s="26"/>
    </row>
    <row r="813" spans="1:23">
      <c r="A813" s="26"/>
      <c r="B813" s="26"/>
      <c r="C813" s="26"/>
      <c r="D813" s="26"/>
      <c r="E813" s="26"/>
      <c r="F813" s="26"/>
      <c r="G813" s="26"/>
      <c r="H813" s="26"/>
      <c r="I813" s="26"/>
      <c r="J813" s="26"/>
      <c r="K813" s="26"/>
      <c r="L813" s="26"/>
      <c r="M813" s="26"/>
      <c r="N813" s="26"/>
      <c r="O813" s="26"/>
      <c r="P813" s="26"/>
      <c r="Q813" s="26"/>
      <c r="R813" s="26"/>
      <c r="S813" s="26"/>
      <c r="T813" s="26"/>
      <c r="U813" s="26"/>
      <c r="V813" s="26"/>
      <c r="W813" s="26"/>
    </row>
    <row r="814" spans="1:23">
      <c r="A814" s="26"/>
      <c r="B814" s="26"/>
      <c r="C814" s="26"/>
      <c r="D814" s="26"/>
      <c r="E814" s="26"/>
      <c r="F814" s="26"/>
      <c r="G814" s="26"/>
      <c r="H814" s="26"/>
      <c r="I814" s="26"/>
      <c r="J814" s="26"/>
      <c r="K814" s="26"/>
      <c r="L814" s="26"/>
      <c r="M814" s="26"/>
      <c r="N814" s="26"/>
      <c r="O814" s="26"/>
      <c r="P814" s="26"/>
      <c r="Q814" s="26"/>
      <c r="R814" s="26"/>
      <c r="S814" s="26"/>
      <c r="T814" s="26"/>
      <c r="U814" s="26"/>
      <c r="V814" s="26"/>
      <c r="W814" s="26"/>
    </row>
    <row r="815" spans="1:23">
      <c r="A815" s="26"/>
      <c r="B815" s="26"/>
      <c r="C815" s="26"/>
      <c r="D815" s="26"/>
      <c r="E815" s="26"/>
      <c r="F815" s="26"/>
      <c r="G815" s="26"/>
      <c r="H815" s="26"/>
      <c r="I815" s="26"/>
      <c r="J815" s="26"/>
      <c r="K815" s="26"/>
      <c r="L815" s="26"/>
      <c r="M815" s="26"/>
      <c r="N815" s="26"/>
      <c r="O815" s="26"/>
      <c r="P815" s="26"/>
      <c r="Q815" s="26"/>
      <c r="R815" s="26"/>
      <c r="S815" s="26"/>
      <c r="T815" s="26"/>
      <c r="U815" s="26"/>
      <c r="V815" s="26"/>
      <c r="W815" s="26"/>
    </row>
    <row r="816" spans="1:23">
      <c r="A816" s="26"/>
      <c r="B816" s="26"/>
      <c r="C816" s="26"/>
      <c r="D816" s="26"/>
      <c r="E816" s="26"/>
      <c r="F816" s="26"/>
      <c r="G816" s="26"/>
      <c r="H816" s="26"/>
      <c r="I816" s="26"/>
      <c r="J816" s="26"/>
      <c r="K816" s="26"/>
      <c r="L816" s="26"/>
      <c r="M816" s="26"/>
      <c r="N816" s="26"/>
      <c r="O816" s="26"/>
      <c r="P816" s="26"/>
      <c r="Q816" s="26"/>
      <c r="R816" s="26"/>
      <c r="S816" s="26"/>
      <c r="T816" s="26"/>
      <c r="U816" s="26"/>
      <c r="V816" s="26"/>
      <c r="W816" s="26"/>
    </row>
    <row r="817" spans="1:23">
      <c r="A817" s="26"/>
      <c r="B817" s="26"/>
      <c r="C817" s="26"/>
      <c r="D817" s="26"/>
      <c r="E817" s="26"/>
      <c r="F817" s="26"/>
      <c r="G817" s="26"/>
      <c r="H817" s="26"/>
      <c r="I817" s="26"/>
      <c r="J817" s="26"/>
      <c r="K817" s="26"/>
      <c r="L817" s="26"/>
      <c r="M817" s="26"/>
      <c r="N817" s="26"/>
      <c r="O817" s="26"/>
      <c r="P817" s="26"/>
      <c r="Q817" s="26"/>
      <c r="R817" s="26"/>
      <c r="S817" s="26"/>
      <c r="T817" s="26"/>
      <c r="U817" s="26"/>
      <c r="V817" s="26"/>
      <c r="W817" s="26"/>
    </row>
    <row r="818" spans="1:23">
      <c r="A818" s="26"/>
      <c r="B818" s="26"/>
      <c r="C818" s="26"/>
      <c r="D818" s="26"/>
      <c r="E818" s="26"/>
      <c r="F818" s="26"/>
      <c r="G818" s="26"/>
      <c r="H818" s="26"/>
      <c r="I818" s="26"/>
      <c r="J818" s="26"/>
      <c r="K818" s="26"/>
      <c r="L818" s="26"/>
      <c r="M818" s="26"/>
      <c r="N818" s="26"/>
      <c r="O818" s="26"/>
      <c r="P818" s="26"/>
      <c r="Q818" s="26"/>
      <c r="R818" s="26"/>
      <c r="S818" s="26"/>
      <c r="T818" s="26"/>
      <c r="U818" s="26"/>
      <c r="V818" s="26"/>
      <c r="W818" s="26"/>
    </row>
    <row r="819" spans="1:23">
      <c r="A819" s="26"/>
      <c r="B819" s="26"/>
      <c r="C819" s="26"/>
      <c r="D819" s="26"/>
      <c r="E819" s="26"/>
      <c r="F819" s="26"/>
      <c r="G819" s="26"/>
      <c r="H819" s="26"/>
      <c r="I819" s="26"/>
      <c r="J819" s="26"/>
      <c r="K819" s="26"/>
      <c r="L819" s="26"/>
      <c r="M819" s="26"/>
      <c r="N819" s="26"/>
      <c r="O819" s="26"/>
      <c r="P819" s="26"/>
      <c r="Q819" s="26"/>
      <c r="R819" s="26"/>
      <c r="S819" s="26"/>
      <c r="T819" s="26"/>
      <c r="U819" s="26"/>
      <c r="V819" s="26"/>
      <c r="W819" s="26"/>
    </row>
    <row r="820" spans="1:23">
      <c r="A820" s="26"/>
      <c r="B820" s="26"/>
      <c r="C820" s="26"/>
      <c r="D820" s="26"/>
      <c r="E820" s="26"/>
      <c r="F820" s="26"/>
      <c r="G820" s="26"/>
      <c r="H820" s="26"/>
      <c r="I820" s="26"/>
      <c r="J820" s="26"/>
      <c r="K820" s="26"/>
      <c r="L820" s="26"/>
      <c r="M820" s="26"/>
      <c r="N820" s="26"/>
      <c r="O820" s="26"/>
      <c r="P820" s="26"/>
      <c r="Q820" s="26"/>
      <c r="R820" s="26"/>
      <c r="S820" s="26"/>
      <c r="T820" s="26"/>
      <c r="U820" s="26"/>
      <c r="V820" s="26"/>
      <c r="W820" s="26"/>
    </row>
    <row r="821" spans="1:23">
      <c r="A821" s="26"/>
      <c r="B821" s="26"/>
      <c r="C821" s="26"/>
      <c r="D821" s="26"/>
      <c r="E821" s="26"/>
      <c r="F821" s="26"/>
      <c r="G821" s="26"/>
      <c r="H821" s="26"/>
      <c r="I821" s="26"/>
      <c r="J821" s="26"/>
      <c r="K821" s="26"/>
      <c r="L821" s="26"/>
      <c r="M821" s="26"/>
      <c r="N821" s="26"/>
      <c r="O821" s="26"/>
      <c r="P821" s="26"/>
      <c r="Q821" s="26"/>
      <c r="R821" s="26"/>
      <c r="S821" s="26"/>
      <c r="T821" s="26"/>
      <c r="U821" s="26"/>
      <c r="V821" s="26"/>
      <c r="W821" s="26"/>
    </row>
    <row r="822" spans="1:23">
      <c r="A822" s="26"/>
      <c r="B822" s="26"/>
      <c r="C822" s="26"/>
      <c r="D822" s="26"/>
      <c r="E822" s="26"/>
      <c r="F822" s="26"/>
      <c r="G822" s="26"/>
      <c r="H822" s="26"/>
      <c r="I822" s="26"/>
      <c r="J822" s="26"/>
      <c r="K822" s="26"/>
      <c r="L822" s="26"/>
      <c r="M822" s="26"/>
      <c r="N822" s="26"/>
      <c r="O822" s="26"/>
      <c r="P822" s="26"/>
      <c r="Q822" s="26"/>
      <c r="R822" s="26"/>
      <c r="S822" s="26"/>
      <c r="T822" s="26"/>
      <c r="U822" s="26"/>
      <c r="V822" s="26"/>
      <c r="W822" s="26"/>
    </row>
    <row r="823" spans="1:23">
      <c r="A823" s="26"/>
      <c r="B823" s="26"/>
      <c r="C823" s="26"/>
      <c r="D823" s="26"/>
      <c r="E823" s="26"/>
      <c r="F823" s="26"/>
      <c r="G823" s="26"/>
      <c r="H823" s="26"/>
      <c r="I823" s="26"/>
      <c r="J823" s="26"/>
      <c r="K823" s="26"/>
      <c r="L823" s="26"/>
      <c r="M823" s="26"/>
      <c r="N823" s="26"/>
      <c r="O823" s="26"/>
      <c r="P823" s="26"/>
      <c r="Q823" s="26"/>
      <c r="R823" s="26"/>
      <c r="S823" s="26"/>
      <c r="T823" s="26"/>
      <c r="U823" s="26"/>
      <c r="V823" s="26"/>
      <c r="W823" s="26"/>
    </row>
    <row r="824" spans="1:23">
      <c r="A824" s="26"/>
      <c r="B824" s="26"/>
      <c r="C824" s="26"/>
      <c r="D824" s="26"/>
      <c r="E824" s="26"/>
      <c r="F824" s="26"/>
      <c r="G824" s="26"/>
      <c r="H824" s="26"/>
      <c r="I824" s="26"/>
      <c r="J824" s="26"/>
      <c r="K824" s="26"/>
      <c r="L824" s="26"/>
      <c r="M824" s="26"/>
      <c r="N824" s="26"/>
      <c r="O824" s="26"/>
      <c r="P824" s="26"/>
      <c r="Q824" s="26"/>
      <c r="R824" s="26"/>
      <c r="S824" s="26"/>
      <c r="T824" s="26"/>
      <c r="U824" s="26"/>
      <c r="V824" s="26"/>
      <c r="W824" s="26"/>
    </row>
    <row r="825" spans="1:23">
      <c r="A825" s="26"/>
      <c r="B825" s="26"/>
      <c r="C825" s="26"/>
      <c r="D825" s="26"/>
      <c r="E825" s="26"/>
      <c r="F825" s="26"/>
      <c r="G825" s="26"/>
      <c r="H825" s="26"/>
      <c r="I825" s="26"/>
      <c r="J825" s="26"/>
      <c r="K825" s="26"/>
      <c r="L825" s="26"/>
      <c r="M825" s="26"/>
      <c r="N825" s="26"/>
      <c r="O825" s="26"/>
      <c r="P825" s="26"/>
      <c r="Q825" s="26"/>
      <c r="R825" s="26"/>
      <c r="S825" s="26"/>
      <c r="T825" s="26"/>
      <c r="U825" s="26"/>
      <c r="V825" s="26"/>
      <c r="W825" s="26"/>
    </row>
    <row r="826" spans="1:23">
      <c r="A826" s="26"/>
      <c r="B826" s="26"/>
      <c r="C826" s="26"/>
      <c r="D826" s="26"/>
      <c r="E826" s="26"/>
      <c r="F826" s="26"/>
      <c r="G826" s="26"/>
      <c r="H826" s="26"/>
      <c r="I826" s="26"/>
      <c r="J826" s="26"/>
      <c r="K826" s="26"/>
      <c r="L826" s="26"/>
      <c r="M826" s="26"/>
      <c r="N826" s="26"/>
      <c r="O826" s="26"/>
      <c r="P826" s="26"/>
      <c r="Q826" s="26"/>
      <c r="R826" s="26"/>
      <c r="S826" s="26"/>
      <c r="T826" s="26"/>
      <c r="U826" s="26"/>
      <c r="V826" s="26"/>
      <c r="W826" s="26"/>
    </row>
    <row r="827" spans="1:23">
      <c r="A827" s="26"/>
      <c r="B827" s="26"/>
      <c r="C827" s="26"/>
      <c r="D827" s="26"/>
      <c r="E827" s="26"/>
      <c r="F827" s="26"/>
      <c r="G827" s="26"/>
      <c r="H827" s="26"/>
      <c r="I827" s="26"/>
      <c r="J827" s="26"/>
      <c r="K827" s="26"/>
      <c r="L827" s="26"/>
      <c r="M827" s="26"/>
      <c r="N827" s="26"/>
      <c r="O827" s="26"/>
      <c r="P827" s="26"/>
      <c r="Q827" s="26"/>
      <c r="R827" s="26"/>
      <c r="S827" s="26"/>
      <c r="T827" s="26"/>
      <c r="U827" s="26"/>
      <c r="V827" s="26"/>
      <c r="W827" s="26"/>
    </row>
    <row r="828" spans="1:23">
      <c r="A828" s="26"/>
      <c r="B828" s="26"/>
      <c r="C828" s="26"/>
      <c r="D828" s="26"/>
      <c r="E828" s="26"/>
      <c r="F828" s="26"/>
      <c r="G828" s="26"/>
      <c r="H828" s="26"/>
      <c r="I828" s="26"/>
      <c r="J828" s="26"/>
      <c r="K828" s="26"/>
      <c r="L828" s="26"/>
      <c r="M828" s="26"/>
      <c r="N828" s="26"/>
      <c r="O828" s="26"/>
      <c r="P828" s="26"/>
      <c r="Q828" s="26"/>
      <c r="R828" s="26"/>
      <c r="S828" s="26"/>
      <c r="T828" s="26"/>
      <c r="U828" s="26"/>
      <c r="V828" s="26"/>
      <c r="W828" s="26"/>
    </row>
    <row r="829" spans="1:23">
      <c r="A829" s="26"/>
      <c r="B829" s="26"/>
      <c r="C829" s="26"/>
      <c r="D829" s="26"/>
      <c r="E829" s="26"/>
      <c r="F829" s="26"/>
      <c r="G829" s="26"/>
      <c r="H829" s="26"/>
      <c r="I829" s="26"/>
      <c r="J829" s="26"/>
      <c r="K829" s="26"/>
      <c r="L829" s="26"/>
      <c r="M829" s="26"/>
      <c r="N829" s="26"/>
      <c r="O829" s="26"/>
      <c r="P829" s="26"/>
      <c r="Q829" s="26"/>
      <c r="R829" s="26"/>
      <c r="S829" s="26"/>
      <c r="T829" s="26"/>
      <c r="U829" s="26"/>
      <c r="V829" s="26"/>
      <c r="W829" s="26"/>
    </row>
    <row r="830" spans="1:23">
      <c r="A830" s="26"/>
      <c r="B830" s="26"/>
      <c r="C830" s="26"/>
      <c r="D830" s="26"/>
      <c r="E830" s="26"/>
      <c r="F830" s="26"/>
      <c r="G830" s="26"/>
      <c r="H830" s="26"/>
      <c r="I830" s="26"/>
      <c r="J830" s="26"/>
      <c r="K830" s="26"/>
      <c r="L830" s="26"/>
      <c r="M830" s="26"/>
      <c r="N830" s="26"/>
      <c r="O830" s="26"/>
      <c r="P830" s="26"/>
      <c r="Q830" s="26"/>
      <c r="R830" s="26"/>
      <c r="S830" s="26"/>
      <c r="T830" s="26"/>
      <c r="U830" s="26"/>
      <c r="V830" s="26"/>
      <c r="W830" s="26"/>
    </row>
    <row r="831" spans="1:23">
      <c r="A831" s="26"/>
      <c r="B831" s="26"/>
      <c r="C831" s="26"/>
      <c r="D831" s="26"/>
      <c r="E831" s="26"/>
      <c r="F831" s="26"/>
      <c r="G831" s="26"/>
      <c r="H831" s="26"/>
      <c r="I831" s="26"/>
      <c r="J831" s="26"/>
      <c r="K831" s="26"/>
      <c r="L831" s="26"/>
      <c r="M831" s="26"/>
      <c r="N831" s="26"/>
      <c r="O831" s="26"/>
      <c r="P831" s="26"/>
      <c r="Q831" s="26"/>
      <c r="R831" s="26"/>
      <c r="S831" s="26"/>
      <c r="T831" s="26"/>
      <c r="U831" s="26"/>
      <c r="V831" s="26"/>
      <c r="W831" s="26"/>
    </row>
    <row r="832" spans="1:23">
      <c r="A832" s="26"/>
      <c r="B832" s="26"/>
      <c r="C832" s="26"/>
      <c r="D832" s="26"/>
      <c r="E832" s="26"/>
      <c r="F832" s="26"/>
      <c r="G832" s="26"/>
      <c r="H832" s="26"/>
      <c r="I832" s="26"/>
      <c r="J832" s="26"/>
      <c r="K832" s="26"/>
      <c r="L832" s="26"/>
      <c r="M832" s="26"/>
      <c r="N832" s="26"/>
      <c r="O832" s="26"/>
      <c r="P832" s="26"/>
      <c r="Q832" s="26"/>
      <c r="R832" s="26"/>
      <c r="S832" s="26"/>
      <c r="T832" s="26"/>
      <c r="U832" s="26"/>
      <c r="V832" s="26"/>
      <c r="W832" s="26"/>
    </row>
    <row r="833" spans="1:23">
      <c r="A833" s="26"/>
      <c r="B833" s="26"/>
      <c r="C833" s="26"/>
      <c r="D833" s="26"/>
      <c r="E833" s="26"/>
      <c r="F833" s="26"/>
      <c r="G833" s="26"/>
      <c r="H833" s="26"/>
      <c r="I833" s="26"/>
      <c r="J833" s="26"/>
      <c r="K833" s="26"/>
      <c r="L833" s="26"/>
      <c r="M833" s="26"/>
      <c r="N833" s="26"/>
      <c r="O833" s="26"/>
      <c r="P833" s="26"/>
      <c r="Q833" s="26"/>
      <c r="R833" s="26"/>
      <c r="S833" s="26"/>
      <c r="T833" s="26"/>
      <c r="U833" s="26"/>
      <c r="V833" s="26"/>
      <c r="W833" s="26"/>
    </row>
    <row r="834" spans="1:23">
      <c r="A834" s="26"/>
      <c r="B834" s="26"/>
      <c r="C834" s="26"/>
      <c r="D834" s="26"/>
      <c r="E834" s="26"/>
      <c r="F834" s="26"/>
      <c r="G834" s="26"/>
      <c r="H834" s="26"/>
      <c r="I834" s="26"/>
      <c r="J834" s="26"/>
      <c r="K834" s="26"/>
      <c r="L834" s="26"/>
      <c r="M834" s="26"/>
      <c r="N834" s="26"/>
      <c r="O834" s="26"/>
      <c r="P834" s="26"/>
      <c r="Q834" s="26"/>
      <c r="R834" s="26"/>
      <c r="S834" s="26"/>
      <c r="T834" s="26"/>
      <c r="U834" s="26"/>
      <c r="V834" s="26"/>
      <c r="W834" s="26"/>
    </row>
    <row r="835" spans="1:23">
      <c r="A835" s="26"/>
      <c r="B835" s="26"/>
      <c r="C835" s="26"/>
      <c r="D835" s="26"/>
      <c r="E835" s="26"/>
      <c r="F835" s="26"/>
      <c r="G835" s="26"/>
      <c r="H835" s="26"/>
      <c r="I835" s="26"/>
      <c r="J835" s="26"/>
      <c r="K835" s="26"/>
      <c r="L835" s="26"/>
      <c r="M835" s="26"/>
      <c r="N835" s="26"/>
      <c r="O835" s="26"/>
      <c r="P835" s="26"/>
      <c r="Q835" s="26"/>
      <c r="R835" s="26"/>
      <c r="S835" s="26"/>
      <c r="T835" s="26"/>
      <c r="U835" s="26"/>
      <c r="V835" s="26"/>
      <c r="W835" s="26"/>
    </row>
    <row r="836" spans="1:23">
      <c r="A836" s="26"/>
      <c r="B836" s="26"/>
      <c r="C836" s="26"/>
      <c r="D836" s="26"/>
      <c r="E836" s="26"/>
      <c r="F836" s="26"/>
      <c r="G836" s="26"/>
      <c r="H836" s="26"/>
      <c r="I836" s="26"/>
      <c r="J836" s="26"/>
      <c r="K836" s="26"/>
      <c r="L836" s="26"/>
      <c r="M836" s="26"/>
      <c r="N836" s="26"/>
      <c r="O836" s="26"/>
      <c r="P836" s="26"/>
      <c r="Q836" s="26"/>
      <c r="R836" s="26"/>
      <c r="S836" s="26"/>
      <c r="T836" s="26"/>
      <c r="U836" s="26"/>
      <c r="V836" s="26"/>
      <c r="W836" s="26"/>
    </row>
    <row r="837" spans="1:23">
      <c r="A837" s="26"/>
      <c r="B837" s="26"/>
      <c r="C837" s="26"/>
      <c r="D837" s="26"/>
      <c r="E837" s="26"/>
      <c r="F837" s="26"/>
      <c r="G837" s="26"/>
      <c r="H837" s="26"/>
      <c r="I837" s="26"/>
      <c r="J837" s="26"/>
      <c r="K837" s="26"/>
      <c r="L837" s="26"/>
      <c r="M837" s="26"/>
      <c r="N837" s="26"/>
      <c r="O837" s="26"/>
      <c r="P837" s="26"/>
      <c r="Q837" s="26"/>
      <c r="R837" s="26"/>
      <c r="S837" s="26"/>
      <c r="T837" s="26"/>
      <c r="U837" s="26"/>
      <c r="V837" s="26"/>
      <c r="W837" s="26"/>
    </row>
    <row r="838" spans="1:23">
      <c r="A838" s="26"/>
      <c r="B838" s="26"/>
      <c r="C838" s="26"/>
      <c r="D838" s="26"/>
      <c r="E838" s="26"/>
      <c r="F838" s="26"/>
      <c r="G838" s="26"/>
      <c r="H838" s="26"/>
      <c r="I838" s="26"/>
      <c r="J838" s="26"/>
      <c r="K838" s="26"/>
      <c r="L838" s="26"/>
      <c r="M838" s="26"/>
      <c r="N838" s="26"/>
      <c r="O838" s="26"/>
      <c r="P838" s="26"/>
      <c r="Q838" s="26"/>
      <c r="R838" s="26"/>
      <c r="S838" s="26"/>
      <c r="T838" s="26"/>
      <c r="U838" s="26"/>
      <c r="V838" s="26"/>
      <c r="W838" s="26"/>
    </row>
    <row r="839" spans="1:23">
      <c r="A839" s="26"/>
      <c r="B839" s="26"/>
      <c r="C839" s="26"/>
      <c r="D839" s="26"/>
      <c r="E839" s="26"/>
      <c r="F839" s="26"/>
      <c r="G839" s="26"/>
      <c r="H839" s="26"/>
      <c r="I839" s="26"/>
      <c r="J839" s="26"/>
      <c r="K839" s="26"/>
      <c r="L839" s="26"/>
      <c r="M839" s="26"/>
      <c r="N839" s="26"/>
      <c r="O839" s="26"/>
      <c r="P839" s="26"/>
      <c r="Q839" s="26"/>
      <c r="R839" s="26"/>
      <c r="S839" s="26"/>
      <c r="T839" s="26"/>
      <c r="U839" s="26"/>
      <c r="V839" s="26"/>
      <c r="W839" s="26"/>
    </row>
    <row r="840" spans="1:23">
      <c r="A840" s="26"/>
      <c r="B840" s="26"/>
      <c r="C840" s="26"/>
      <c r="D840" s="26"/>
      <c r="E840" s="26"/>
      <c r="F840" s="26"/>
      <c r="G840" s="26"/>
      <c r="H840" s="26"/>
      <c r="I840" s="26"/>
      <c r="J840" s="26"/>
      <c r="K840" s="26"/>
      <c r="L840" s="26"/>
      <c r="M840" s="26"/>
      <c r="N840" s="26"/>
      <c r="O840" s="26"/>
      <c r="P840" s="26"/>
      <c r="Q840" s="26"/>
      <c r="R840" s="26"/>
      <c r="S840" s="26"/>
      <c r="T840" s="26"/>
      <c r="U840" s="26"/>
      <c r="V840" s="26"/>
      <c r="W840" s="26"/>
    </row>
    <row r="841" spans="1:23">
      <c r="A841" s="26"/>
      <c r="B841" s="26"/>
      <c r="C841" s="26"/>
      <c r="D841" s="26"/>
      <c r="E841" s="26"/>
      <c r="F841" s="26"/>
      <c r="G841" s="26"/>
      <c r="H841" s="26"/>
      <c r="I841" s="26"/>
      <c r="J841" s="26"/>
      <c r="K841" s="26"/>
      <c r="L841" s="26"/>
      <c r="M841" s="26"/>
      <c r="N841" s="26"/>
      <c r="O841" s="26"/>
      <c r="P841" s="26"/>
      <c r="Q841" s="26"/>
      <c r="R841" s="26"/>
      <c r="S841" s="26"/>
      <c r="T841" s="26"/>
      <c r="U841" s="26"/>
      <c r="V841" s="26"/>
      <c r="W841" s="26"/>
    </row>
    <row r="842" spans="1:23">
      <c r="A842" s="26"/>
      <c r="B842" s="26"/>
      <c r="C842" s="26"/>
      <c r="D842" s="26"/>
      <c r="E842" s="26"/>
      <c r="F842" s="26"/>
      <c r="G842" s="26"/>
      <c r="H842" s="26"/>
      <c r="I842" s="26"/>
      <c r="J842" s="26"/>
      <c r="K842" s="26"/>
      <c r="L842" s="26"/>
      <c r="M842" s="26"/>
      <c r="N842" s="26"/>
      <c r="O842" s="26"/>
      <c r="P842" s="26"/>
      <c r="Q842" s="26"/>
      <c r="R842" s="26"/>
      <c r="S842" s="26"/>
      <c r="T842" s="26"/>
      <c r="U842" s="26"/>
      <c r="V842" s="26"/>
      <c r="W842" s="26"/>
    </row>
    <row r="843" spans="1:23">
      <c r="A843" s="26"/>
      <c r="B843" s="26"/>
      <c r="C843" s="26"/>
      <c r="D843" s="26"/>
      <c r="E843" s="26"/>
      <c r="F843" s="26"/>
      <c r="G843" s="26"/>
      <c r="H843" s="26"/>
      <c r="I843" s="26"/>
      <c r="J843" s="26"/>
      <c r="K843" s="26"/>
      <c r="L843" s="26"/>
      <c r="M843" s="26"/>
      <c r="N843" s="26"/>
      <c r="O843" s="26"/>
      <c r="P843" s="26"/>
      <c r="Q843" s="26"/>
      <c r="R843" s="26"/>
      <c r="S843" s="26"/>
      <c r="T843" s="26"/>
      <c r="U843" s="26"/>
      <c r="V843" s="26"/>
      <c r="W843" s="26"/>
    </row>
    <row r="844" spans="1:23">
      <c r="A844" s="26"/>
      <c r="B844" s="26"/>
      <c r="C844" s="26"/>
      <c r="D844" s="26"/>
      <c r="E844" s="26"/>
      <c r="F844" s="26"/>
      <c r="G844" s="26"/>
      <c r="H844" s="26"/>
      <c r="I844" s="26"/>
      <c r="J844" s="26"/>
      <c r="K844" s="26"/>
      <c r="L844" s="26"/>
      <c r="M844" s="26"/>
      <c r="N844" s="26"/>
      <c r="O844" s="26"/>
      <c r="P844" s="26"/>
      <c r="Q844" s="26"/>
      <c r="R844" s="26"/>
      <c r="S844" s="26"/>
      <c r="T844" s="26"/>
      <c r="U844" s="26"/>
      <c r="V844" s="26"/>
      <c r="W844" s="26"/>
    </row>
    <row r="845" spans="1:23">
      <c r="A845" s="26"/>
      <c r="B845" s="26"/>
      <c r="C845" s="26"/>
      <c r="D845" s="26"/>
      <c r="E845" s="26"/>
      <c r="F845" s="26"/>
      <c r="G845" s="26"/>
      <c r="H845" s="26"/>
      <c r="I845" s="26"/>
      <c r="J845" s="26"/>
      <c r="K845" s="26"/>
      <c r="L845" s="26"/>
      <c r="M845" s="26"/>
      <c r="N845" s="26"/>
      <c r="O845" s="26"/>
      <c r="P845" s="26"/>
      <c r="Q845" s="26"/>
      <c r="R845" s="26"/>
      <c r="S845" s="26"/>
      <c r="T845" s="26"/>
      <c r="U845" s="26"/>
      <c r="V845" s="26"/>
      <c r="W845" s="26"/>
    </row>
    <row r="846" spans="1:23">
      <c r="A846" s="26"/>
      <c r="B846" s="26"/>
      <c r="C846" s="26"/>
      <c r="D846" s="26"/>
      <c r="E846" s="26"/>
      <c r="F846" s="26"/>
      <c r="G846" s="26"/>
      <c r="H846" s="26"/>
      <c r="I846" s="26"/>
      <c r="J846" s="26"/>
      <c r="K846" s="26"/>
      <c r="L846" s="26"/>
      <c r="M846" s="26"/>
      <c r="N846" s="26"/>
      <c r="O846" s="26"/>
      <c r="P846" s="26"/>
      <c r="Q846" s="26"/>
      <c r="R846" s="26"/>
      <c r="S846" s="26"/>
      <c r="T846" s="26"/>
      <c r="U846" s="26"/>
      <c r="V846" s="26"/>
      <c r="W846" s="26"/>
    </row>
    <row r="847" spans="1:23">
      <c r="A847" s="26"/>
      <c r="B847" s="26"/>
      <c r="C847" s="26"/>
      <c r="D847" s="26"/>
      <c r="E847" s="26"/>
      <c r="F847" s="26"/>
      <c r="G847" s="26"/>
      <c r="H847" s="26"/>
      <c r="I847" s="26"/>
      <c r="J847" s="26"/>
      <c r="K847" s="26"/>
      <c r="L847" s="26"/>
      <c r="M847" s="26"/>
      <c r="N847" s="26"/>
      <c r="O847" s="26"/>
      <c r="P847" s="26"/>
      <c r="Q847" s="26"/>
      <c r="R847" s="26"/>
      <c r="S847" s="26"/>
      <c r="T847" s="26"/>
      <c r="U847" s="26"/>
      <c r="V847" s="26"/>
      <c r="W847" s="26"/>
    </row>
    <row r="848" spans="1:23">
      <c r="A848" s="26"/>
      <c r="B848" s="26"/>
      <c r="C848" s="26"/>
      <c r="D848" s="26"/>
      <c r="E848" s="26"/>
      <c r="F848" s="26"/>
      <c r="G848" s="26"/>
      <c r="H848" s="26"/>
      <c r="I848" s="26"/>
      <c r="J848" s="26"/>
      <c r="K848" s="26"/>
      <c r="L848" s="26"/>
      <c r="M848" s="26"/>
      <c r="N848" s="26"/>
      <c r="O848" s="26"/>
      <c r="P848" s="26"/>
      <c r="Q848" s="26"/>
      <c r="R848" s="26"/>
      <c r="S848" s="26"/>
      <c r="T848" s="26"/>
      <c r="U848" s="26"/>
      <c r="V848" s="26"/>
      <c r="W848" s="26"/>
    </row>
    <row r="849" spans="1:23">
      <c r="A849" s="26"/>
      <c r="B849" s="26"/>
      <c r="C849" s="26"/>
      <c r="D849" s="26"/>
      <c r="E849" s="26"/>
      <c r="F849" s="26"/>
      <c r="G849" s="26"/>
      <c r="H849" s="26"/>
      <c r="I849" s="26"/>
      <c r="J849" s="26"/>
      <c r="K849" s="26"/>
      <c r="L849" s="26"/>
      <c r="M849" s="26"/>
      <c r="N849" s="26"/>
      <c r="O849" s="26"/>
      <c r="P849" s="26"/>
      <c r="Q849" s="26"/>
      <c r="R849" s="26"/>
      <c r="S849" s="26"/>
      <c r="T849" s="26"/>
      <c r="U849" s="26"/>
      <c r="V849" s="26"/>
      <c r="W849" s="26"/>
    </row>
    <row r="850" spans="1:23">
      <c r="A850" s="26"/>
      <c r="B850" s="26"/>
      <c r="C850" s="26"/>
      <c r="D850" s="26"/>
      <c r="E850" s="26"/>
      <c r="F850" s="26"/>
      <c r="G850" s="26"/>
      <c r="H850" s="26"/>
      <c r="I850" s="26"/>
      <c r="J850" s="26"/>
      <c r="K850" s="26"/>
      <c r="L850" s="26"/>
      <c r="M850" s="26"/>
      <c r="N850" s="26"/>
      <c r="O850" s="26"/>
      <c r="P850" s="26"/>
      <c r="Q850" s="26"/>
      <c r="R850" s="26"/>
      <c r="S850" s="26"/>
      <c r="T850" s="26"/>
      <c r="U850" s="26"/>
      <c r="V850" s="26"/>
      <c r="W850" s="26"/>
    </row>
    <row r="851" spans="1:23">
      <c r="A851" s="26"/>
      <c r="B851" s="26"/>
      <c r="C851" s="26"/>
      <c r="D851" s="26"/>
      <c r="E851" s="26"/>
      <c r="F851" s="26"/>
      <c r="G851" s="26"/>
      <c r="H851" s="26"/>
      <c r="I851" s="26"/>
      <c r="J851" s="26"/>
      <c r="K851" s="26"/>
      <c r="L851" s="26"/>
      <c r="M851" s="26"/>
      <c r="N851" s="26"/>
      <c r="O851" s="26"/>
      <c r="P851" s="26"/>
      <c r="Q851" s="26"/>
      <c r="R851" s="26"/>
      <c r="S851" s="26"/>
      <c r="T851" s="26"/>
      <c r="U851" s="26"/>
      <c r="V851" s="26"/>
      <c r="W851" s="26"/>
    </row>
    <row r="852" spans="1:23">
      <c r="A852" s="26"/>
      <c r="B852" s="26"/>
      <c r="C852" s="26"/>
      <c r="D852" s="26"/>
      <c r="E852" s="26"/>
      <c r="F852" s="26"/>
      <c r="G852" s="26"/>
      <c r="H852" s="26"/>
      <c r="I852" s="26"/>
      <c r="J852" s="26"/>
      <c r="K852" s="26"/>
      <c r="L852" s="26"/>
      <c r="M852" s="26"/>
      <c r="N852" s="26"/>
      <c r="O852" s="26"/>
      <c r="P852" s="26"/>
      <c r="Q852" s="26"/>
      <c r="R852" s="26"/>
      <c r="S852" s="26"/>
      <c r="T852" s="26"/>
      <c r="U852" s="26"/>
      <c r="V852" s="26"/>
      <c r="W852" s="26"/>
    </row>
    <row r="853" spans="1:23">
      <c r="A853" s="26"/>
      <c r="B853" s="26"/>
      <c r="C853" s="26"/>
      <c r="D853" s="26"/>
      <c r="E853" s="26"/>
      <c r="F853" s="26"/>
      <c r="G853" s="26"/>
      <c r="H853" s="26"/>
      <c r="I853" s="26"/>
      <c r="J853" s="26"/>
      <c r="K853" s="26"/>
      <c r="L853" s="26"/>
      <c r="M853" s="26"/>
      <c r="N853" s="26"/>
      <c r="O853" s="26"/>
      <c r="P853" s="26"/>
      <c r="Q853" s="26"/>
      <c r="R853" s="26"/>
      <c r="S853" s="26"/>
      <c r="T853" s="26"/>
      <c r="U853" s="26"/>
      <c r="V853" s="26"/>
      <c r="W853" s="26"/>
    </row>
    <row r="854" spans="1:23">
      <c r="A854" s="26"/>
      <c r="B854" s="26"/>
      <c r="C854" s="26"/>
      <c r="D854" s="26"/>
      <c r="E854" s="26"/>
      <c r="F854" s="26"/>
      <c r="G854" s="26"/>
      <c r="H854" s="26"/>
      <c r="I854" s="26"/>
      <c r="J854" s="26"/>
      <c r="K854" s="26"/>
      <c r="L854" s="26"/>
      <c r="M854" s="26"/>
      <c r="N854" s="26"/>
      <c r="O854" s="26"/>
      <c r="P854" s="26"/>
      <c r="Q854" s="26"/>
      <c r="R854" s="26"/>
      <c r="S854" s="26"/>
      <c r="T854" s="26"/>
      <c r="U854" s="26"/>
      <c r="V854" s="26"/>
      <c r="W854" s="26"/>
    </row>
    <row r="855" spans="1:23">
      <c r="A855" s="26"/>
      <c r="B855" s="26"/>
      <c r="C855" s="26"/>
      <c r="D855" s="26"/>
      <c r="E855" s="26"/>
      <c r="F855" s="26"/>
      <c r="G855" s="26"/>
      <c r="H855" s="26"/>
      <c r="I855" s="26"/>
      <c r="J855" s="26"/>
      <c r="K855" s="26"/>
      <c r="L855" s="26"/>
      <c r="M855" s="26"/>
      <c r="N855" s="26"/>
      <c r="O855" s="26"/>
      <c r="P855" s="26"/>
      <c r="Q855" s="26"/>
      <c r="R855" s="26"/>
      <c r="S855" s="26"/>
      <c r="T855" s="26"/>
      <c r="U855" s="26"/>
      <c r="V855" s="26"/>
      <c r="W855" s="26"/>
    </row>
    <row r="856" spans="1:23">
      <c r="A856" s="26"/>
      <c r="B856" s="26"/>
      <c r="C856" s="26"/>
      <c r="D856" s="26"/>
      <c r="E856" s="26"/>
      <c r="F856" s="26"/>
      <c r="G856" s="26"/>
      <c r="H856" s="26"/>
      <c r="I856" s="26"/>
      <c r="J856" s="26"/>
      <c r="K856" s="26"/>
      <c r="L856" s="26"/>
      <c r="M856" s="26"/>
      <c r="N856" s="26"/>
      <c r="O856" s="26"/>
      <c r="P856" s="26"/>
      <c r="Q856" s="26"/>
      <c r="R856" s="26"/>
      <c r="S856" s="26"/>
      <c r="T856" s="26"/>
      <c r="U856" s="26"/>
      <c r="V856" s="26"/>
      <c r="W856" s="26"/>
    </row>
    <row r="857" spans="1:23">
      <c r="A857" s="26"/>
      <c r="B857" s="26"/>
      <c r="C857" s="26"/>
      <c r="D857" s="26"/>
      <c r="E857" s="26"/>
      <c r="F857" s="26"/>
      <c r="G857" s="26"/>
      <c r="H857" s="26"/>
      <c r="I857" s="26"/>
      <c r="J857" s="26"/>
      <c r="K857" s="26"/>
      <c r="L857" s="26"/>
      <c r="M857" s="26"/>
      <c r="N857" s="26"/>
      <c r="O857" s="26"/>
      <c r="P857" s="26"/>
      <c r="Q857" s="26"/>
      <c r="R857" s="26"/>
      <c r="S857" s="26"/>
      <c r="T857" s="26"/>
      <c r="U857" s="26"/>
      <c r="V857" s="26"/>
      <c r="W857" s="26"/>
    </row>
    <row r="858" spans="1:23">
      <c r="A858" s="26"/>
      <c r="B858" s="26"/>
      <c r="C858" s="26"/>
      <c r="D858" s="26"/>
      <c r="E858" s="26"/>
      <c r="F858" s="26"/>
      <c r="G858" s="26"/>
      <c r="H858" s="26"/>
      <c r="I858" s="26"/>
      <c r="J858" s="26"/>
      <c r="K858" s="26"/>
      <c r="L858" s="26"/>
      <c r="M858" s="26"/>
      <c r="N858" s="26"/>
      <c r="O858" s="26"/>
      <c r="P858" s="26"/>
      <c r="Q858" s="26"/>
      <c r="R858" s="26"/>
      <c r="S858" s="26"/>
      <c r="T858" s="26"/>
      <c r="U858" s="26"/>
      <c r="V858" s="26"/>
      <c r="W858" s="26"/>
    </row>
    <row r="859" spans="1:23">
      <c r="A859" s="26"/>
      <c r="B859" s="26"/>
      <c r="C859" s="26"/>
      <c r="D859" s="26"/>
      <c r="E859" s="26"/>
      <c r="F859" s="26"/>
      <c r="G859" s="26"/>
      <c r="H859" s="26"/>
      <c r="I859" s="26"/>
      <c r="J859" s="26"/>
      <c r="K859" s="26"/>
      <c r="L859" s="26"/>
      <c r="M859" s="26"/>
      <c r="N859" s="26"/>
      <c r="O859" s="26"/>
      <c r="P859" s="26"/>
      <c r="Q859" s="26"/>
      <c r="R859" s="26"/>
      <c r="S859" s="26"/>
      <c r="T859" s="26"/>
      <c r="U859" s="26"/>
      <c r="V859" s="26"/>
      <c r="W859" s="26"/>
    </row>
    <row r="860" spans="1:23">
      <c r="A860" s="26"/>
      <c r="B860" s="26"/>
      <c r="C860" s="26"/>
      <c r="D860" s="26"/>
      <c r="E860" s="26"/>
      <c r="F860" s="26"/>
      <c r="G860" s="26"/>
      <c r="H860" s="26"/>
      <c r="I860" s="26"/>
      <c r="J860" s="26"/>
      <c r="K860" s="26"/>
      <c r="L860" s="26"/>
      <c r="M860" s="26"/>
      <c r="N860" s="26"/>
      <c r="O860" s="26"/>
      <c r="P860" s="26"/>
      <c r="Q860" s="26"/>
      <c r="R860" s="26"/>
      <c r="S860" s="26"/>
      <c r="T860" s="26"/>
      <c r="U860" s="26"/>
      <c r="V860" s="26"/>
      <c r="W860" s="26"/>
    </row>
    <row r="861" spans="1:23">
      <c r="A861" s="26"/>
      <c r="B861" s="26"/>
      <c r="C861" s="26"/>
      <c r="D861" s="26"/>
      <c r="E861" s="26"/>
      <c r="F861" s="26"/>
      <c r="G861" s="26"/>
      <c r="H861" s="26"/>
      <c r="I861" s="26"/>
      <c r="J861" s="26"/>
      <c r="K861" s="26"/>
      <c r="L861" s="26"/>
      <c r="M861" s="26"/>
      <c r="N861" s="26"/>
      <c r="O861" s="26"/>
      <c r="P861" s="26"/>
      <c r="Q861" s="26"/>
      <c r="R861" s="26"/>
      <c r="S861" s="26"/>
      <c r="T861" s="26"/>
      <c r="U861" s="26"/>
      <c r="V861" s="26"/>
      <c r="W861" s="26"/>
    </row>
    <row r="862" spans="1:23">
      <c r="A862" s="26"/>
      <c r="B862" s="26"/>
      <c r="C862" s="26"/>
      <c r="D862" s="26"/>
      <c r="E862" s="26"/>
      <c r="F862" s="26"/>
      <c r="G862" s="26"/>
      <c r="H862" s="26"/>
      <c r="I862" s="26"/>
      <c r="J862" s="26"/>
      <c r="K862" s="26"/>
      <c r="L862" s="26"/>
      <c r="M862" s="26"/>
      <c r="N862" s="26"/>
      <c r="O862" s="26"/>
      <c r="P862" s="26"/>
      <c r="Q862" s="26"/>
      <c r="R862" s="26"/>
      <c r="S862" s="26"/>
      <c r="T862" s="26"/>
      <c r="U862" s="26"/>
      <c r="V862" s="26"/>
      <c r="W862" s="26"/>
    </row>
    <row r="863" spans="1:23">
      <c r="A863" s="26"/>
      <c r="B863" s="26"/>
      <c r="C863" s="26"/>
      <c r="D863" s="26"/>
      <c r="E863" s="26"/>
      <c r="F863" s="26"/>
      <c r="G863" s="26"/>
      <c r="H863" s="26"/>
      <c r="I863" s="26"/>
      <c r="J863" s="26"/>
      <c r="K863" s="26"/>
      <c r="L863" s="26"/>
      <c r="M863" s="26"/>
      <c r="N863" s="26"/>
      <c r="O863" s="26"/>
      <c r="P863" s="26"/>
      <c r="Q863" s="26"/>
      <c r="R863" s="26"/>
      <c r="S863" s="26"/>
      <c r="T863" s="26"/>
      <c r="U863" s="26"/>
      <c r="V863" s="26"/>
      <c r="W863" s="26"/>
    </row>
    <row r="864" spans="1:23">
      <c r="A864" s="26"/>
      <c r="B864" s="26"/>
      <c r="C864" s="26"/>
      <c r="D864" s="26"/>
      <c r="E864" s="26"/>
      <c r="F864" s="26"/>
      <c r="G864" s="26"/>
      <c r="H864" s="26"/>
      <c r="I864" s="26"/>
      <c r="J864" s="26"/>
      <c r="K864" s="26"/>
      <c r="L864" s="26"/>
      <c r="M864" s="26"/>
      <c r="N864" s="26"/>
      <c r="O864" s="26"/>
      <c r="P864" s="26"/>
      <c r="Q864" s="26"/>
      <c r="R864" s="26"/>
      <c r="S864" s="26"/>
      <c r="T864" s="26"/>
      <c r="U864" s="26"/>
      <c r="V864" s="26"/>
      <c r="W864" s="26"/>
    </row>
    <row r="865" spans="1:23">
      <c r="A865" s="26"/>
      <c r="B865" s="26"/>
      <c r="C865" s="26"/>
      <c r="D865" s="26"/>
      <c r="E865" s="26"/>
      <c r="F865" s="26"/>
      <c r="G865" s="26"/>
      <c r="H865" s="26"/>
      <c r="I865" s="26"/>
      <c r="J865" s="26"/>
      <c r="K865" s="26"/>
      <c r="L865" s="26"/>
      <c r="M865" s="26"/>
      <c r="N865" s="26"/>
      <c r="O865" s="26"/>
      <c r="P865" s="26"/>
      <c r="Q865" s="26"/>
      <c r="R865" s="26"/>
      <c r="S865" s="26"/>
      <c r="T865" s="26"/>
      <c r="U865" s="26"/>
      <c r="V865" s="26"/>
      <c r="W865" s="26"/>
    </row>
    <row r="866" spans="1:23">
      <c r="A866" s="26"/>
      <c r="B866" s="26"/>
      <c r="C866" s="26"/>
      <c r="D866" s="26"/>
      <c r="E866" s="26"/>
      <c r="F866" s="26"/>
      <c r="G866" s="26"/>
      <c r="H866" s="26"/>
      <c r="I866" s="26"/>
      <c r="J866" s="26"/>
      <c r="K866" s="26"/>
      <c r="L866" s="26"/>
      <c r="M866" s="26"/>
      <c r="N866" s="26"/>
      <c r="O866" s="26"/>
      <c r="P866" s="26"/>
      <c r="Q866" s="26"/>
      <c r="R866" s="26"/>
      <c r="S866" s="26"/>
      <c r="T866" s="26"/>
      <c r="U866" s="26"/>
      <c r="V866" s="26"/>
      <c r="W866" s="26"/>
    </row>
    <row r="867" spans="1:23">
      <c r="A867" s="26"/>
      <c r="B867" s="26"/>
      <c r="C867" s="26"/>
      <c r="D867" s="26"/>
      <c r="E867" s="26"/>
      <c r="F867" s="26"/>
      <c r="G867" s="26"/>
      <c r="H867" s="26"/>
      <c r="I867" s="26"/>
      <c r="J867" s="26"/>
      <c r="K867" s="26"/>
      <c r="L867" s="26"/>
      <c r="M867" s="26"/>
      <c r="N867" s="26"/>
      <c r="O867" s="26"/>
      <c r="P867" s="26"/>
      <c r="Q867" s="26"/>
      <c r="R867" s="26"/>
      <c r="S867" s="26"/>
      <c r="T867" s="26"/>
      <c r="U867" s="26"/>
      <c r="V867" s="26"/>
      <c r="W867" s="26"/>
    </row>
    <row r="868" spans="1:23">
      <c r="A868" s="26"/>
      <c r="B868" s="26"/>
      <c r="C868" s="26"/>
      <c r="D868" s="26"/>
      <c r="E868" s="26"/>
      <c r="F868" s="26"/>
      <c r="G868" s="26"/>
      <c r="H868" s="26"/>
      <c r="I868" s="26"/>
      <c r="J868" s="26"/>
      <c r="K868" s="26"/>
      <c r="L868" s="26"/>
      <c r="M868" s="26"/>
      <c r="N868" s="26"/>
      <c r="O868" s="26"/>
      <c r="P868" s="26"/>
      <c r="Q868" s="26"/>
      <c r="R868" s="26"/>
      <c r="S868" s="26"/>
      <c r="T868" s="26"/>
      <c r="U868" s="26"/>
      <c r="V868" s="26"/>
      <c r="W868" s="26"/>
    </row>
    <row r="869" spans="1:23">
      <c r="A869" s="26"/>
      <c r="B869" s="26"/>
      <c r="C869" s="26"/>
      <c r="D869" s="26"/>
      <c r="E869" s="26"/>
      <c r="F869" s="26"/>
      <c r="G869" s="26"/>
      <c r="H869" s="26"/>
      <c r="I869" s="26"/>
      <c r="J869" s="26"/>
      <c r="K869" s="26"/>
      <c r="L869" s="26"/>
      <c r="M869" s="26"/>
      <c r="N869" s="26"/>
      <c r="O869" s="26"/>
      <c r="P869" s="26"/>
      <c r="Q869" s="26"/>
      <c r="R869" s="26"/>
      <c r="S869" s="26"/>
      <c r="T869" s="26"/>
      <c r="U869" s="26"/>
      <c r="V869" s="26"/>
      <c r="W869" s="26"/>
    </row>
    <row r="870" spans="1:23">
      <c r="A870" s="26"/>
      <c r="B870" s="26"/>
      <c r="C870" s="26"/>
      <c r="D870" s="26"/>
      <c r="E870" s="26"/>
      <c r="F870" s="26"/>
      <c r="G870" s="26"/>
      <c r="H870" s="26"/>
      <c r="I870" s="26"/>
      <c r="J870" s="26"/>
      <c r="K870" s="26"/>
      <c r="L870" s="26"/>
      <c r="M870" s="26"/>
      <c r="N870" s="26"/>
      <c r="O870" s="26"/>
      <c r="P870" s="26"/>
      <c r="Q870" s="26"/>
      <c r="R870" s="26"/>
      <c r="S870" s="26"/>
      <c r="T870" s="26"/>
      <c r="U870" s="26"/>
      <c r="V870" s="26"/>
      <c r="W870" s="26"/>
    </row>
    <row r="871" spans="1:23">
      <c r="A871" s="26"/>
      <c r="B871" s="26"/>
      <c r="C871" s="26"/>
      <c r="D871" s="26"/>
      <c r="E871" s="26"/>
      <c r="F871" s="26"/>
      <c r="G871" s="26"/>
      <c r="H871" s="26"/>
      <c r="I871" s="26"/>
      <c r="J871" s="26"/>
      <c r="K871" s="26"/>
      <c r="L871" s="26"/>
      <c r="M871" s="26"/>
      <c r="N871" s="26"/>
      <c r="O871" s="26"/>
      <c r="P871" s="26"/>
      <c r="Q871" s="26"/>
      <c r="R871" s="26"/>
      <c r="S871" s="26"/>
      <c r="T871" s="26"/>
      <c r="U871" s="26"/>
      <c r="V871" s="26"/>
      <c r="W871" s="26"/>
    </row>
    <row r="872" spans="1:23">
      <c r="A872" s="26"/>
      <c r="B872" s="26"/>
      <c r="C872" s="26"/>
      <c r="D872" s="26"/>
      <c r="E872" s="26"/>
      <c r="F872" s="26"/>
      <c r="G872" s="26"/>
      <c r="H872" s="26"/>
      <c r="I872" s="26"/>
      <c r="J872" s="26"/>
      <c r="K872" s="26"/>
      <c r="L872" s="26"/>
      <c r="M872" s="26"/>
      <c r="N872" s="26"/>
      <c r="O872" s="26"/>
      <c r="P872" s="26"/>
      <c r="Q872" s="26"/>
      <c r="R872" s="26"/>
      <c r="S872" s="26"/>
      <c r="T872" s="26"/>
      <c r="U872" s="26"/>
      <c r="V872" s="26"/>
      <c r="W872" s="26"/>
    </row>
    <row r="873" spans="1:23">
      <c r="A873" s="26"/>
      <c r="B873" s="26"/>
      <c r="C873" s="26"/>
      <c r="D873" s="26"/>
      <c r="E873" s="26"/>
      <c r="F873" s="26"/>
      <c r="G873" s="26"/>
      <c r="H873" s="26"/>
      <c r="I873" s="26"/>
      <c r="J873" s="26"/>
      <c r="K873" s="26"/>
      <c r="L873" s="26"/>
      <c r="M873" s="26"/>
      <c r="N873" s="26"/>
      <c r="O873" s="26"/>
      <c r="P873" s="26"/>
      <c r="Q873" s="26"/>
      <c r="R873" s="26"/>
      <c r="S873" s="26"/>
      <c r="T873" s="26"/>
      <c r="U873" s="26"/>
      <c r="V873" s="26"/>
      <c r="W873" s="26"/>
    </row>
    <row r="874" spans="1:23">
      <c r="A874" s="26"/>
      <c r="B874" s="26"/>
      <c r="C874" s="26"/>
      <c r="D874" s="26"/>
      <c r="E874" s="26"/>
      <c r="F874" s="26"/>
      <c r="G874" s="26"/>
      <c r="H874" s="26"/>
      <c r="I874" s="26"/>
      <c r="J874" s="26"/>
      <c r="K874" s="26"/>
      <c r="L874" s="26"/>
      <c r="M874" s="26"/>
      <c r="N874" s="26"/>
      <c r="O874" s="26"/>
      <c r="P874" s="26"/>
      <c r="Q874" s="26"/>
      <c r="R874" s="26"/>
      <c r="S874" s="26"/>
      <c r="T874" s="26"/>
      <c r="U874" s="26"/>
      <c r="V874" s="26"/>
      <c r="W874" s="26"/>
    </row>
    <row r="875" spans="1:23">
      <c r="A875" s="26"/>
      <c r="B875" s="26"/>
      <c r="C875" s="26"/>
      <c r="D875" s="26"/>
      <c r="E875" s="26"/>
      <c r="F875" s="26"/>
      <c r="G875" s="26"/>
      <c r="H875" s="26"/>
      <c r="I875" s="26"/>
      <c r="J875" s="26"/>
      <c r="K875" s="26"/>
      <c r="L875" s="26"/>
      <c r="M875" s="26"/>
      <c r="N875" s="26"/>
      <c r="O875" s="26"/>
      <c r="P875" s="26"/>
      <c r="Q875" s="26"/>
      <c r="R875" s="26"/>
      <c r="S875" s="26"/>
      <c r="T875" s="26"/>
      <c r="U875" s="26"/>
      <c r="V875" s="26"/>
      <c r="W875" s="26"/>
    </row>
    <row r="876" spans="1:23">
      <c r="A876" s="26"/>
      <c r="B876" s="26"/>
      <c r="C876" s="26"/>
      <c r="D876" s="26"/>
      <c r="E876" s="26"/>
      <c r="F876" s="26"/>
      <c r="G876" s="26"/>
      <c r="H876" s="26"/>
      <c r="I876" s="26"/>
      <c r="J876" s="26"/>
      <c r="K876" s="26"/>
      <c r="L876" s="26"/>
      <c r="M876" s="26"/>
      <c r="N876" s="26"/>
      <c r="O876" s="26"/>
      <c r="P876" s="26"/>
      <c r="Q876" s="26"/>
      <c r="R876" s="26"/>
      <c r="S876" s="26"/>
      <c r="T876" s="26"/>
      <c r="U876" s="26"/>
      <c r="V876" s="26"/>
      <c r="W876" s="26"/>
    </row>
    <row r="877" spans="1:23">
      <c r="A877" s="26"/>
      <c r="B877" s="26"/>
      <c r="C877" s="26"/>
      <c r="D877" s="26"/>
      <c r="E877" s="26"/>
      <c r="F877" s="26"/>
      <c r="G877" s="26"/>
      <c r="H877" s="26"/>
      <c r="I877" s="26"/>
      <c r="J877" s="26"/>
      <c r="K877" s="26"/>
      <c r="L877" s="26"/>
      <c r="M877" s="26"/>
      <c r="N877" s="26"/>
      <c r="O877" s="26"/>
      <c r="P877" s="26"/>
      <c r="Q877" s="26"/>
      <c r="R877" s="26"/>
      <c r="S877" s="26"/>
      <c r="T877" s="26"/>
      <c r="U877" s="26"/>
      <c r="V877" s="26"/>
      <c r="W877" s="26"/>
    </row>
    <row r="878" spans="1:23">
      <c r="A878" s="26"/>
      <c r="B878" s="26"/>
      <c r="C878" s="26"/>
      <c r="D878" s="26"/>
      <c r="E878" s="26"/>
      <c r="F878" s="26"/>
      <c r="G878" s="26"/>
      <c r="H878" s="26"/>
      <c r="I878" s="26"/>
      <c r="J878" s="26"/>
      <c r="K878" s="26"/>
      <c r="L878" s="26"/>
      <c r="M878" s="26"/>
      <c r="N878" s="26"/>
      <c r="O878" s="26"/>
      <c r="P878" s="26"/>
      <c r="Q878" s="26"/>
      <c r="R878" s="26"/>
      <c r="S878" s="26"/>
      <c r="T878" s="26"/>
      <c r="U878" s="26"/>
      <c r="V878" s="26"/>
      <c r="W878" s="26"/>
    </row>
    <row r="879" spans="1:23">
      <c r="A879" s="26"/>
      <c r="B879" s="26"/>
      <c r="C879" s="26"/>
      <c r="D879" s="26"/>
      <c r="E879" s="26"/>
      <c r="F879" s="26"/>
      <c r="G879" s="26"/>
      <c r="H879" s="26"/>
      <c r="I879" s="26"/>
      <c r="J879" s="26"/>
      <c r="K879" s="26"/>
      <c r="L879" s="26"/>
      <c r="M879" s="26"/>
      <c r="N879" s="26"/>
      <c r="O879" s="26"/>
      <c r="P879" s="26"/>
      <c r="Q879" s="26"/>
      <c r="R879" s="26"/>
      <c r="S879" s="26"/>
      <c r="T879" s="26"/>
      <c r="U879" s="26"/>
      <c r="V879" s="26"/>
      <c r="W879" s="26"/>
    </row>
    <row r="880" spans="1:23">
      <c r="A880" s="26"/>
      <c r="B880" s="26"/>
      <c r="C880" s="26"/>
      <c r="D880" s="26"/>
      <c r="E880" s="26"/>
      <c r="F880" s="26"/>
      <c r="G880" s="26"/>
      <c r="H880" s="26"/>
      <c r="I880" s="26"/>
      <c r="J880" s="26"/>
      <c r="K880" s="26"/>
      <c r="L880" s="26"/>
      <c r="M880" s="26"/>
      <c r="N880" s="26"/>
      <c r="O880" s="26"/>
      <c r="P880" s="26"/>
      <c r="Q880" s="26"/>
      <c r="R880" s="26"/>
      <c r="S880" s="26"/>
      <c r="T880" s="26"/>
      <c r="U880" s="26"/>
      <c r="V880" s="26"/>
      <c r="W880" s="26"/>
    </row>
    <row r="881" spans="1:23">
      <c r="A881" s="26"/>
      <c r="B881" s="26"/>
      <c r="C881" s="26"/>
      <c r="D881" s="26"/>
      <c r="E881" s="26"/>
      <c r="F881" s="26"/>
      <c r="G881" s="26"/>
      <c r="H881" s="26"/>
      <c r="I881" s="26"/>
      <c r="J881" s="26"/>
      <c r="K881" s="26"/>
      <c r="L881" s="26"/>
      <c r="M881" s="26"/>
      <c r="N881" s="26"/>
      <c r="O881" s="26"/>
      <c r="P881" s="26"/>
      <c r="Q881" s="26"/>
      <c r="R881" s="26"/>
      <c r="S881" s="26"/>
      <c r="T881" s="26"/>
      <c r="U881" s="26"/>
      <c r="V881" s="26"/>
      <c r="W881" s="26"/>
    </row>
    <row r="882" spans="1:23">
      <c r="A882" s="26"/>
      <c r="B882" s="26"/>
      <c r="C882" s="26"/>
      <c r="D882" s="26"/>
      <c r="E882" s="26"/>
      <c r="F882" s="26"/>
      <c r="G882" s="26"/>
      <c r="H882" s="26"/>
      <c r="I882" s="26"/>
      <c r="J882" s="26"/>
      <c r="K882" s="26"/>
      <c r="L882" s="26"/>
      <c r="M882" s="26"/>
      <c r="N882" s="26"/>
      <c r="O882" s="26"/>
      <c r="P882" s="26"/>
      <c r="Q882" s="26"/>
      <c r="R882" s="26"/>
      <c r="S882" s="26"/>
      <c r="T882" s="26"/>
      <c r="U882" s="26"/>
      <c r="V882" s="26"/>
      <c r="W882" s="26"/>
    </row>
    <row r="883" spans="1:23">
      <c r="A883" s="26"/>
      <c r="B883" s="26"/>
      <c r="C883" s="26"/>
      <c r="D883" s="26"/>
      <c r="E883" s="26"/>
      <c r="F883" s="26"/>
      <c r="G883" s="26"/>
      <c r="H883" s="26"/>
      <c r="I883" s="26"/>
      <c r="J883" s="26"/>
      <c r="K883" s="26"/>
      <c r="L883" s="26"/>
      <c r="M883" s="26"/>
      <c r="N883" s="26"/>
      <c r="O883" s="26"/>
      <c r="P883" s="26"/>
      <c r="Q883" s="26"/>
      <c r="R883" s="26"/>
      <c r="S883" s="26"/>
      <c r="T883" s="26"/>
      <c r="U883" s="26"/>
      <c r="V883" s="26"/>
      <c r="W883" s="26"/>
    </row>
    <row r="884" spans="1:23">
      <c r="A884" s="26"/>
      <c r="B884" s="26"/>
      <c r="C884" s="26"/>
      <c r="D884" s="26"/>
      <c r="E884" s="26"/>
      <c r="F884" s="26"/>
      <c r="G884" s="26"/>
      <c r="H884" s="26"/>
      <c r="I884" s="26"/>
      <c r="J884" s="26"/>
      <c r="K884" s="26"/>
      <c r="L884" s="26"/>
      <c r="M884" s="26"/>
      <c r="N884" s="26"/>
      <c r="O884" s="26"/>
      <c r="P884" s="26"/>
      <c r="Q884" s="26"/>
      <c r="R884" s="26"/>
      <c r="S884" s="26"/>
      <c r="T884" s="26"/>
      <c r="U884" s="26"/>
      <c r="V884" s="26"/>
      <c r="W884" s="26"/>
    </row>
    <row r="885" spans="1:23">
      <c r="A885" s="26"/>
      <c r="B885" s="26"/>
      <c r="C885" s="26"/>
      <c r="D885" s="26"/>
      <c r="E885" s="26"/>
      <c r="F885" s="26"/>
      <c r="G885" s="26"/>
      <c r="H885" s="26"/>
      <c r="I885" s="26"/>
      <c r="J885" s="26"/>
      <c r="K885" s="26"/>
      <c r="L885" s="26"/>
      <c r="M885" s="26"/>
      <c r="N885" s="26"/>
      <c r="O885" s="26"/>
      <c r="P885" s="26"/>
      <c r="Q885" s="26"/>
      <c r="R885" s="26"/>
      <c r="S885" s="26"/>
      <c r="T885" s="26"/>
      <c r="U885" s="26"/>
      <c r="V885" s="26"/>
      <c r="W885" s="26"/>
    </row>
    <row r="886" spans="1:23">
      <c r="A886" s="26"/>
      <c r="B886" s="26"/>
      <c r="C886" s="26"/>
      <c r="D886" s="26"/>
      <c r="E886" s="26"/>
      <c r="F886" s="26"/>
      <c r="G886" s="26"/>
      <c r="H886" s="26"/>
      <c r="I886" s="26"/>
      <c r="J886" s="26"/>
      <c r="K886" s="26"/>
      <c r="L886" s="26"/>
      <c r="M886" s="26"/>
      <c r="N886" s="26"/>
      <c r="O886" s="26"/>
      <c r="P886" s="26"/>
      <c r="Q886" s="26"/>
      <c r="R886" s="26"/>
      <c r="S886" s="26"/>
      <c r="T886" s="26"/>
      <c r="U886" s="26"/>
      <c r="V886" s="26"/>
      <c r="W886" s="26"/>
    </row>
    <row r="887" spans="1:23">
      <c r="A887" s="26"/>
      <c r="B887" s="26"/>
      <c r="C887" s="26"/>
      <c r="D887" s="26"/>
      <c r="E887" s="26"/>
      <c r="F887" s="26"/>
      <c r="G887" s="26"/>
      <c r="H887" s="26"/>
      <c r="I887" s="26"/>
      <c r="J887" s="26"/>
      <c r="K887" s="26"/>
      <c r="L887" s="26"/>
      <c r="M887" s="26"/>
      <c r="N887" s="26"/>
      <c r="O887" s="26"/>
      <c r="P887" s="26"/>
      <c r="Q887" s="26"/>
      <c r="R887" s="26"/>
      <c r="S887" s="26"/>
      <c r="T887" s="26"/>
      <c r="U887" s="26"/>
      <c r="V887" s="26"/>
      <c r="W887" s="26"/>
    </row>
    <row r="888" spans="1:23">
      <c r="A888" s="26"/>
      <c r="B888" s="26"/>
      <c r="C888" s="26"/>
      <c r="D888" s="26"/>
      <c r="E888" s="26"/>
      <c r="F888" s="26"/>
      <c r="G888" s="26"/>
      <c r="H888" s="26"/>
      <c r="I888" s="26"/>
      <c r="J888" s="26"/>
      <c r="K888" s="26"/>
      <c r="L888" s="26"/>
      <c r="M888" s="26"/>
      <c r="N888" s="26"/>
      <c r="O888" s="26"/>
      <c r="P888" s="26"/>
      <c r="Q888" s="26"/>
      <c r="R888" s="26"/>
      <c r="S888" s="26"/>
      <c r="T888" s="26"/>
      <c r="U888" s="26"/>
      <c r="V888" s="26"/>
      <c r="W888" s="26"/>
    </row>
    <row r="889" spans="1:23">
      <c r="A889" s="26"/>
      <c r="B889" s="26"/>
      <c r="C889" s="26"/>
      <c r="D889" s="26"/>
      <c r="E889" s="26"/>
      <c r="F889" s="26"/>
      <c r="G889" s="26"/>
      <c r="H889" s="26"/>
      <c r="I889" s="26"/>
      <c r="J889" s="26"/>
      <c r="K889" s="26"/>
      <c r="L889" s="26"/>
      <c r="M889" s="26"/>
      <c r="N889" s="26"/>
      <c r="O889" s="26"/>
      <c r="P889" s="26"/>
      <c r="Q889" s="26"/>
      <c r="R889" s="26"/>
      <c r="S889" s="26"/>
      <c r="T889" s="26"/>
      <c r="U889" s="26"/>
      <c r="V889" s="26"/>
      <c r="W889" s="26"/>
    </row>
    <row r="890" spans="1:23">
      <c r="A890" s="26"/>
      <c r="B890" s="26"/>
      <c r="C890" s="26"/>
      <c r="D890" s="26"/>
      <c r="E890" s="26"/>
      <c r="F890" s="26"/>
      <c r="G890" s="26"/>
      <c r="H890" s="26"/>
      <c r="I890" s="26"/>
      <c r="J890" s="26"/>
      <c r="K890" s="26"/>
      <c r="L890" s="26"/>
      <c r="M890" s="26"/>
      <c r="N890" s="26"/>
      <c r="O890" s="26"/>
      <c r="P890" s="26"/>
      <c r="Q890" s="26"/>
      <c r="R890" s="26"/>
      <c r="S890" s="26"/>
      <c r="T890" s="26"/>
      <c r="U890" s="26"/>
      <c r="V890" s="26"/>
      <c r="W890" s="26"/>
    </row>
    <row r="891" spans="1:23">
      <c r="A891" s="26"/>
      <c r="B891" s="26"/>
      <c r="C891" s="26"/>
      <c r="D891" s="26"/>
      <c r="E891" s="26"/>
      <c r="F891" s="26"/>
      <c r="G891" s="26"/>
      <c r="H891" s="26"/>
      <c r="I891" s="26"/>
      <c r="J891" s="26"/>
      <c r="K891" s="26"/>
      <c r="L891" s="26"/>
      <c r="M891" s="26"/>
      <c r="N891" s="26"/>
      <c r="O891" s="26"/>
      <c r="P891" s="26"/>
      <c r="Q891" s="26"/>
      <c r="R891" s="26"/>
      <c r="S891" s="26"/>
      <c r="T891" s="26"/>
      <c r="U891" s="26"/>
      <c r="V891" s="26"/>
      <c r="W891" s="26"/>
    </row>
    <row r="892" spans="1:23">
      <c r="A892" s="26"/>
      <c r="B892" s="26"/>
      <c r="C892" s="26"/>
      <c r="D892" s="26"/>
      <c r="E892" s="26"/>
      <c r="F892" s="26"/>
      <c r="G892" s="26"/>
      <c r="H892" s="26"/>
      <c r="I892" s="26"/>
      <c r="J892" s="26"/>
      <c r="K892" s="26"/>
      <c r="L892" s="26"/>
      <c r="M892" s="26"/>
      <c r="N892" s="26"/>
      <c r="O892" s="26"/>
      <c r="P892" s="26"/>
      <c r="Q892" s="26"/>
      <c r="R892" s="26"/>
      <c r="S892" s="26"/>
      <c r="T892" s="26"/>
      <c r="U892" s="26"/>
      <c r="V892" s="26"/>
      <c r="W892" s="26"/>
    </row>
    <row r="893" spans="1:23">
      <c r="A893" s="26"/>
      <c r="B893" s="26"/>
      <c r="C893" s="26"/>
      <c r="D893" s="26"/>
      <c r="E893" s="26"/>
      <c r="F893" s="26"/>
      <c r="G893" s="26"/>
      <c r="H893" s="26"/>
      <c r="I893" s="26"/>
      <c r="J893" s="26"/>
      <c r="K893" s="26"/>
      <c r="L893" s="26"/>
      <c r="M893" s="26"/>
      <c r="N893" s="26"/>
      <c r="O893" s="26"/>
      <c r="P893" s="26"/>
      <c r="Q893" s="26"/>
      <c r="R893" s="26"/>
      <c r="S893" s="26"/>
      <c r="T893" s="26"/>
      <c r="U893" s="26"/>
      <c r="V893" s="26"/>
      <c r="W893" s="26"/>
    </row>
    <row r="894" spans="1:23">
      <c r="A894" s="26"/>
      <c r="B894" s="26"/>
      <c r="C894" s="26"/>
      <c r="D894" s="26"/>
      <c r="E894" s="26"/>
      <c r="F894" s="26"/>
      <c r="G894" s="26"/>
      <c r="H894" s="26"/>
      <c r="I894" s="26"/>
      <c r="J894" s="26"/>
      <c r="K894" s="26"/>
      <c r="L894" s="26"/>
      <c r="M894" s="26"/>
      <c r="N894" s="26"/>
      <c r="O894" s="26"/>
      <c r="P894" s="26"/>
      <c r="Q894" s="26"/>
      <c r="R894" s="26"/>
      <c r="S894" s="26"/>
      <c r="T894" s="26"/>
      <c r="U894" s="26"/>
      <c r="V894" s="26"/>
      <c r="W894" s="26"/>
    </row>
    <row r="895" spans="1:23">
      <c r="A895" s="26"/>
      <c r="B895" s="26"/>
      <c r="C895" s="26"/>
      <c r="D895" s="26"/>
      <c r="E895" s="26"/>
      <c r="F895" s="26"/>
      <c r="G895" s="26"/>
      <c r="H895" s="26"/>
      <c r="I895" s="26"/>
      <c r="J895" s="26"/>
      <c r="K895" s="26"/>
      <c r="L895" s="26"/>
      <c r="M895" s="26"/>
      <c r="N895" s="26"/>
      <c r="O895" s="26"/>
      <c r="P895" s="26"/>
      <c r="Q895" s="26"/>
      <c r="R895" s="26"/>
      <c r="S895" s="26"/>
      <c r="T895" s="26"/>
      <c r="U895" s="26"/>
      <c r="V895" s="26"/>
      <c r="W895" s="26"/>
    </row>
    <row r="896" spans="1:23">
      <c r="A896" s="26"/>
      <c r="B896" s="26"/>
      <c r="C896" s="26"/>
      <c r="D896" s="26"/>
      <c r="E896" s="26"/>
      <c r="F896" s="26"/>
      <c r="G896" s="26"/>
      <c r="H896" s="26"/>
      <c r="I896" s="26"/>
      <c r="J896" s="26"/>
      <c r="K896" s="26"/>
      <c r="L896" s="26"/>
      <c r="M896" s="26"/>
      <c r="N896" s="26"/>
      <c r="O896" s="26"/>
      <c r="P896" s="26"/>
      <c r="Q896" s="26"/>
      <c r="R896" s="26"/>
      <c r="S896" s="26"/>
      <c r="T896" s="26"/>
      <c r="U896" s="26"/>
      <c r="V896" s="26"/>
      <c r="W896" s="26"/>
    </row>
    <row r="897" spans="1:23">
      <c r="A897" s="26"/>
      <c r="B897" s="26"/>
      <c r="C897" s="26"/>
      <c r="D897" s="26"/>
      <c r="E897" s="26"/>
      <c r="F897" s="26"/>
      <c r="G897" s="26"/>
      <c r="H897" s="26"/>
      <c r="I897" s="26"/>
      <c r="J897" s="26"/>
      <c r="K897" s="26"/>
      <c r="L897" s="26"/>
      <c r="M897" s="26"/>
      <c r="N897" s="26"/>
      <c r="O897" s="26"/>
      <c r="P897" s="26"/>
      <c r="Q897" s="26"/>
      <c r="R897" s="26"/>
      <c r="S897" s="26"/>
      <c r="T897" s="26"/>
      <c r="U897" s="26"/>
      <c r="V897" s="26"/>
      <c r="W897" s="26"/>
    </row>
    <row r="898" spans="1:23">
      <c r="A898" s="26"/>
      <c r="B898" s="26"/>
      <c r="C898" s="26"/>
      <c r="D898" s="26"/>
      <c r="E898" s="26"/>
      <c r="F898" s="26"/>
      <c r="G898" s="26"/>
      <c r="H898" s="26"/>
      <c r="I898" s="26"/>
      <c r="J898" s="26"/>
      <c r="K898" s="26"/>
      <c r="L898" s="26"/>
      <c r="M898" s="26"/>
      <c r="N898" s="26"/>
      <c r="O898" s="26"/>
      <c r="P898" s="26"/>
      <c r="Q898" s="26"/>
      <c r="R898" s="26"/>
      <c r="S898" s="26"/>
      <c r="T898" s="26"/>
      <c r="U898" s="26"/>
      <c r="V898" s="26"/>
      <c r="W898" s="26"/>
    </row>
    <row r="899" spans="1:23">
      <c r="A899" s="26"/>
      <c r="B899" s="26"/>
      <c r="C899" s="26"/>
      <c r="D899" s="26"/>
      <c r="E899" s="26"/>
      <c r="F899" s="26"/>
      <c r="G899" s="26"/>
      <c r="H899" s="26"/>
      <c r="I899" s="26"/>
      <c r="J899" s="26"/>
      <c r="K899" s="26"/>
      <c r="L899" s="26"/>
      <c r="M899" s="26"/>
      <c r="N899" s="26"/>
      <c r="O899" s="26"/>
      <c r="P899" s="26"/>
      <c r="Q899" s="26"/>
      <c r="R899" s="26"/>
      <c r="S899" s="26"/>
      <c r="T899" s="26"/>
      <c r="U899" s="26"/>
      <c r="V899" s="26"/>
      <c r="W899" s="26"/>
    </row>
    <row r="900" spans="1:23">
      <c r="A900" s="26"/>
      <c r="B900" s="26"/>
      <c r="C900" s="26"/>
      <c r="D900" s="26"/>
      <c r="E900" s="26"/>
      <c r="F900" s="26"/>
      <c r="G900" s="26"/>
      <c r="H900" s="26"/>
      <c r="I900" s="26"/>
      <c r="J900" s="26"/>
      <c r="K900" s="26"/>
      <c r="L900" s="26"/>
      <c r="M900" s="26"/>
      <c r="N900" s="26"/>
      <c r="O900" s="26"/>
      <c r="P900" s="26"/>
      <c r="Q900" s="26"/>
      <c r="R900" s="26"/>
      <c r="S900" s="26"/>
      <c r="T900" s="26"/>
      <c r="U900" s="26"/>
      <c r="V900" s="26"/>
      <c r="W900" s="26"/>
    </row>
    <row r="901" spans="1:23">
      <c r="A901" s="26"/>
      <c r="B901" s="26"/>
      <c r="C901" s="26"/>
      <c r="D901" s="26"/>
      <c r="E901" s="26"/>
      <c r="F901" s="26"/>
      <c r="G901" s="26"/>
      <c r="H901" s="26"/>
      <c r="I901" s="26"/>
      <c r="J901" s="26"/>
      <c r="K901" s="26"/>
      <c r="L901" s="26"/>
      <c r="M901" s="26"/>
      <c r="N901" s="26"/>
      <c r="O901" s="26"/>
      <c r="P901" s="26"/>
      <c r="Q901" s="26"/>
      <c r="R901" s="26"/>
      <c r="S901" s="26"/>
      <c r="T901" s="26"/>
      <c r="U901" s="26"/>
      <c r="V901" s="26"/>
      <c r="W901" s="26"/>
    </row>
    <row r="902" spans="1:23">
      <c r="A902" s="26"/>
      <c r="B902" s="26"/>
      <c r="C902" s="26"/>
      <c r="D902" s="26"/>
      <c r="E902" s="26"/>
      <c r="F902" s="26"/>
      <c r="G902" s="26"/>
      <c r="H902" s="26"/>
      <c r="I902" s="26"/>
      <c r="J902" s="26"/>
      <c r="K902" s="26"/>
      <c r="L902" s="26"/>
      <c r="M902" s="26"/>
      <c r="N902" s="26"/>
      <c r="O902" s="26"/>
      <c r="P902" s="26"/>
      <c r="Q902" s="26"/>
      <c r="R902" s="26"/>
      <c r="S902" s="26"/>
      <c r="T902" s="26"/>
      <c r="U902" s="26"/>
      <c r="V902" s="26"/>
      <c r="W902" s="26"/>
    </row>
    <row r="903" spans="1:23">
      <c r="A903" s="26"/>
      <c r="B903" s="26"/>
      <c r="C903" s="26"/>
      <c r="D903" s="26"/>
      <c r="E903" s="26"/>
      <c r="F903" s="26"/>
      <c r="G903" s="26"/>
      <c r="H903" s="26"/>
      <c r="I903" s="26"/>
      <c r="J903" s="26"/>
      <c r="K903" s="26"/>
      <c r="L903" s="26"/>
      <c r="M903" s="26"/>
      <c r="N903" s="26"/>
      <c r="O903" s="26"/>
      <c r="P903" s="26"/>
      <c r="Q903" s="26"/>
      <c r="R903" s="26"/>
      <c r="S903" s="26"/>
      <c r="T903" s="26"/>
      <c r="U903" s="26"/>
      <c r="V903" s="26"/>
      <c r="W903" s="26"/>
    </row>
    <row r="904" spans="1:23">
      <c r="A904" s="26"/>
      <c r="B904" s="26"/>
      <c r="C904" s="26"/>
      <c r="D904" s="26"/>
      <c r="E904" s="26"/>
      <c r="F904" s="26"/>
      <c r="G904" s="26"/>
      <c r="H904" s="26"/>
      <c r="I904" s="26"/>
      <c r="J904" s="26"/>
      <c r="K904" s="26"/>
      <c r="L904" s="26"/>
      <c r="M904" s="26"/>
      <c r="N904" s="26"/>
      <c r="O904" s="26"/>
      <c r="P904" s="26"/>
      <c r="Q904" s="26"/>
      <c r="R904" s="26"/>
      <c r="S904" s="26"/>
      <c r="T904" s="26"/>
      <c r="U904" s="26"/>
      <c r="V904" s="26"/>
      <c r="W904" s="26"/>
    </row>
    <row r="905" spans="1:23">
      <c r="A905" s="26"/>
      <c r="B905" s="26"/>
      <c r="C905" s="26"/>
      <c r="D905" s="26"/>
      <c r="E905" s="26"/>
      <c r="F905" s="26"/>
      <c r="G905" s="26"/>
      <c r="H905" s="26"/>
      <c r="I905" s="26"/>
      <c r="J905" s="26"/>
      <c r="K905" s="26"/>
      <c r="L905" s="26"/>
      <c r="M905" s="26"/>
      <c r="N905" s="26"/>
      <c r="O905" s="26"/>
      <c r="P905" s="26"/>
      <c r="Q905" s="26"/>
      <c r="R905" s="26"/>
      <c r="S905" s="26"/>
      <c r="T905" s="26"/>
      <c r="U905" s="26"/>
      <c r="V905" s="26"/>
      <c r="W905" s="26"/>
    </row>
    <row r="906" spans="1:23">
      <c r="A906" s="26"/>
      <c r="B906" s="26"/>
      <c r="C906" s="26"/>
      <c r="D906" s="26"/>
      <c r="E906" s="26"/>
      <c r="F906" s="26"/>
      <c r="G906" s="26"/>
      <c r="H906" s="26"/>
      <c r="I906" s="26"/>
      <c r="J906" s="26"/>
      <c r="K906" s="26"/>
      <c r="L906" s="26"/>
      <c r="M906" s="26"/>
      <c r="N906" s="26"/>
      <c r="O906" s="26"/>
      <c r="P906" s="26"/>
      <c r="Q906" s="26"/>
      <c r="R906" s="26"/>
      <c r="S906" s="26"/>
      <c r="T906" s="26"/>
      <c r="U906" s="26"/>
      <c r="V906" s="26"/>
      <c r="W906" s="26"/>
    </row>
    <row r="907" spans="1:23">
      <c r="A907" s="26"/>
      <c r="B907" s="26"/>
      <c r="C907" s="26"/>
      <c r="D907" s="26"/>
      <c r="E907" s="26"/>
      <c r="F907" s="26"/>
      <c r="G907" s="26"/>
      <c r="H907" s="26"/>
      <c r="I907" s="26"/>
      <c r="J907" s="26"/>
      <c r="K907" s="26"/>
      <c r="L907" s="26"/>
      <c r="M907" s="26"/>
      <c r="N907" s="26"/>
      <c r="O907" s="26"/>
      <c r="P907" s="26"/>
      <c r="Q907" s="26"/>
      <c r="R907" s="26"/>
      <c r="S907" s="26"/>
      <c r="T907" s="26"/>
      <c r="U907" s="26"/>
      <c r="V907" s="26"/>
      <c r="W907" s="26"/>
    </row>
    <row r="908" spans="1:23">
      <c r="A908" s="26"/>
      <c r="B908" s="26"/>
      <c r="C908" s="26"/>
      <c r="D908" s="26"/>
      <c r="E908" s="26"/>
      <c r="F908" s="26"/>
      <c r="G908" s="26"/>
      <c r="H908" s="26"/>
      <c r="I908" s="26"/>
      <c r="J908" s="26"/>
      <c r="K908" s="26"/>
      <c r="L908" s="26"/>
      <c r="M908" s="26"/>
      <c r="N908" s="26"/>
      <c r="O908" s="26"/>
      <c r="P908" s="26"/>
      <c r="Q908" s="26"/>
      <c r="R908" s="26"/>
      <c r="S908" s="26"/>
      <c r="T908" s="26"/>
      <c r="U908" s="26"/>
      <c r="V908" s="26"/>
      <c r="W908" s="26"/>
    </row>
    <row r="909" spans="1:23">
      <c r="A909" s="26"/>
      <c r="B909" s="26"/>
      <c r="C909" s="26"/>
      <c r="D909" s="26"/>
      <c r="E909" s="26"/>
      <c r="F909" s="26"/>
      <c r="G909" s="26"/>
      <c r="H909" s="26"/>
      <c r="I909" s="26"/>
      <c r="J909" s="26"/>
      <c r="K909" s="26"/>
      <c r="L909" s="26"/>
      <c r="M909" s="26"/>
      <c r="N909" s="26"/>
      <c r="O909" s="26"/>
      <c r="P909" s="26"/>
      <c r="Q909" s="26"/>
      <c r="R909" s="26"/>
      <c r="S909" s="26"/>
      <c r="T909" s="26"/>
      <c r="U909" s="26"/>
      <c r="V909" s="26"/>
      <c r="W909" s="26"/>
    </row>
    <row r="910" spans="1:23">
      <c r="A910" s="26"/>
      <c r="B910" s="26"/>
      <c r="C910" s="26"/>
      <c r="D910" s="26"/>
      <c r="E910" s="26"/>
      <c r="F910" s="26"/>
      <c r="G910" s="26"/>
      <c r="H910" s="26"/>
      <c r="I910" s="26"/>
      <c r="J910" s="26"/>
      <c r="K910" s="26"/>
      <c r="L910" s="26"/>
      <c r="M910" s="26"/>
      <c r="N910" s="26"/>
      <c r="O910" s="26"/>
      <c r="P910" s="26"/>
      <c r="Q910" s="26"/>
      <c r="R910" s="26"/>
      <c r="S910" s="26"/>
      <c r="T910" s="26"/>
      <c r="U910" s="26"/>
      <c r="V910" s="26"/>
      <c r="W910" s="26"/>
    </row>
    <row r="911" spans="1:23">
      <c r="A911" s="26"/>
      <c r="B911" s="26"/>
      <c r="C911" s="26"/>
      <c r="D911" s="26"/>
      <c r="E911" s="26"/>
      <c r="F911" s="26"/>
      <c r="G911" s="26"/>
      <c r="H911" s="26"/>
      <c r="I911" s="26"/>
      <c r="J911" s="26"/>
      <c r="K911" s="26"/>
      <c r="L911" s="26"/>
      <c r="M911" s="26"/>
      <c r="N911" s="26"/>
      <c r="O911" s="26"/>
      <c r="P911" s="26"/>
      <c r="Q911" s="26"/>
      <c r="R911" s="26"/>
      <c r="S911" s="26"/>
      <c r="T911" s="26"/>
      <c r="U911" s="26"/>
      <c r="V911" s="26"/>
      <c r="W911" s="26"/>
    </row>
    <row r="912" spans="1:23">
      <c r="A912" s="26"/>
      <c r="B912" s="26"/>
      <c r="C912" s="26"/>
      <c r="D912" s="26"/>
      <c r="E912" s="26"/>
      <c r="F912" s="26"/>
      <c r="G912" s="26"/>
      <c r="H912" s="26"/>
      <c r="I912" s="26"/>
      <c r="J912" s="26"/>
      <c r="K912" s="26"/>
      <c r="L912" s="26"/>
      <c r="M912" s="26"/>
      <c r="N912" s="26"/>
      <c r="O912" s="26"/>
      <c r="P912" s="26"/>
      <c r="Q912" s="26"/>
      <c r="R912" s="26"/>
      <c r="S912" s="26"/>
      <c r="T912" s="26"/>
      <c r="U912" s="26"/>
      <c r="V912" s="26"/>
      <c r="W912" s="26"/>
    </row>
    <row r="913" spans="1:23">
      <c r="A913" s="26"/>
      <c r="B913" s="26"/>
      <c r="C913" s="26"/>
      <c r="D913" s="26"/>
      <c r="E913" s="26"/>
      <c r="F913" s="26"/>
      <c r="G913" s="26"/>
      <c r="H913" s="26"/>
      <c r="I913" s="26"/>
      <c r="J913" s="26"/>
      <c r="K913" s="26"/>
      <c r="L913" s="26"/>
      <c r="M913" s="26"/>
      <c r="N913" s="26"/>
      <c r="O913" s="26"/>
      <c r="P913" s="26"/>
      <c r="Q913" s="26"/>
      <c r="R913" s="26"/>
      <c r="S913" s="26"/>
      <c r="T913" s="26"/>
      <c r="U913" s="26"/>
      <c r="V913" s="26"/>
      <c r="W913" s="26"/>
    </row>
    <row r="914" spans="1:23">
      <c r="A914" s="26"/>
      <c r="B914" s="26"/>
      <c r="C914" s="26"/>
      <c r="D914" s="26"/>
      <c r="E914" s="26"/>
      <c r="F914" s="26"/>
      <c r="G914" s="26"/>
      <c r="H914" s="26"/>
      <c r="I914" s="26"/>
      <c r="J914" s="26"/>
      <c r="K914" s="26"/>
      <c r="L914" s="26"/>
      <c r="M914" s="26"/>
      <c r="N914" s="26"/>
      <c r="O914" s="26"/>
      <c r="P914" s="26"/>
      <c r="Q914" s="26"/>
      <c r="R914" s="26"/>
      <c r="S914" s="26"/>
      <c r="T914" s="26"/>
      <c r="U914" s="26"/>
      <c r="V914" s="26"/>
      <c r="W914" s="26"/>
    </row>
    <row r="915" spans="1:23">
      <c r="A915" s="26"/>
      <c r="B915" s="26"/>
      <c r="C915" s="26"/>
      <c r="D915" s="26"/>
      <c r="E915" s="26"/>
      <c r="F915" s="26"/>
      <c r="G915" s="26"/>
      <c r="H915" s="26"/>
      <c r="I915" s="26"/>
      <c r="J915" s="26"/>
      <c r="K915" s="26"/>
      <c r="L915" s="26"/>
      <c r="M915" s="26"/>
      <c r="N915" s="26"/>
      <c r="O915" s="26"/>
      <c r="P915" s="26"/>
      <c r="Q915" s="26"/>
      <c r="R915" s="26"/>
      <c r="S915" s="26"/>
      <c r="T915" s="26"/>
      <c r="U915" s="26"/>
      <c r="V915" s="26"/>
      <c r="W915" s="26"/>
    </row>
    <row r="916" spans="1:23">
      <c r="A916" s="26"/>
      <c r="B916" s="26"/>
      <c r="C916" s="26"/>
      <c r="D916" s="26"/>
      <c r="E916" s="26"/>
      <c r="F916" s="26"/>
      <c r="G916" s="26"/>
      <c r="H916" s="26"/>
      <c r="I916" s="26"/>
      <c r="J916" s="26"/>
      <c r="K916" s="26"/>
      <c r="L916" s="26"/>
      <c r="M916" s="26"/>
      <c r="N916" s="26"/>
      <c r="O916" s="26"/>
      <c r="P916" s="26"/>
      <c r="Q916" s="26"/>
      <c r="R916" s="26"/>
      <c r="S916" s="26"/>
      <c r="T916" s="26"/>
      <c r="U916" s="26"/>
      <c r="V916" s="26"/>
      <c r="W916" s="26"/>
    </row>
    <row r="917" spans="1:23">
      <c r="A917" s="26"/>
      <c r="B917" s="26"/>
      <c r="C917" s="26"/>
      <c r="D917" s="26"/>
      <c r="E917" s="26"/>
      <c r="F917" s="26"/>
      <c r="G917" s="26"/>
      <c r="H917" s="26"/>
      <c r="I917" s="26"/>
      <c r="J917" s="26"/>
      <c r="K917" s="26"/>
      <c r="L917" s="26"/>
      <c r="M917" s="26"/>
      <c r="N917" s="26"/>
      <c r="O917" s="26"/>
      <c r="P917" s="26"/>
      <c r="Q917" s="26"/>
      <c r="R917" s="26"/>
      <c r="S917" s="26"/>
      <c r="T917" s="26"/>
      <c r="U917" s="26"/>
      <c r="V917" s="26"/>
      <c r="W917" s="26"/>
    </row>
    <row r="918" spans="1:23">
      <c r="A918" s="26"/>
      <c r="B918" s="26"/>
      <c r="C918" s="26"/>
      <c r="D918" s="26"/>
      <c r="E918" s="26"/>
      <c r="F918" s="26"/>
      <c r="G918" s="26"/>
      <c r="H918" s="26"/>
      <c r="I918" s="26"/>
      <c r="J918" s="26"/>
      <c r="K918" s="26"/>
      <c r="L918" s="26"/>
      <c r="M918" s="26"/>
      <c r="N918" s="26"/>
      <c r="O918" s="26"/>
      <c r="P918" s="26"/>
      <c r="Q918" s="26"/>
      <c r="R918" s="26"/>
      <c r="S918" s="26"/>
      <c r="T918" s="26"/>
      <c r="U918" s="26"/>
      <c r="V918" s="26"/>
      <c r="W918" s="26"/>
    </row>
    <row r="919" spans="1:23">
      <c r="A919" s="26"/>
      <c r="B919" s="26"/>
      <c r="C919" s="26"/>
      <c r="D919" s="26"/>
      <c r="E919" s="26"/>
      <c r="F919" s="26"/>
      <c r="G919" s="26"/>
      <c r="H919" s="26"/>
      <c r="I919" s="26"/>
      <c r="J919" s="26"/>
      <c r="K919" s="26"/>
      <c r="L919" s="26"/>
      <c r="M919" s="26"/>
      <c r="N919" s="26"/>
      <c r="O919" s="26"/>
      <c r="P919" s="26"/>
      <c r="Q919" s="26"/>
      <c r="R919" s="26"/>
      <c r="S919" s="26"/>
      <c r="T919" s="26"/>
      <c r="U919" s="26"/>
      <c r="V919" s="26"/>
      <c r="W919" s="26"/>
    </row>
    <row r="920" spans="1:23">
      <c r="A920" s="26"/>
      <c r="B920" s="26"/>
      <c r="C920" s="26"/>
      <c r="D920" s="26"/>
      <c r="E920" s="26"/>
      <c r="F920" s="26"/>
      <c r="G920" s="26"/>
      <c r="H920" s="26"/>
      <c r="I920" s="26"/>
      <c r="J920" s="26"/>
      <c r="K920" s="26"/>
      <c r="L920" s="26"/>
      <c r="M920" s="26"/>
      <c r="N920" s="26"/>
      <c r="O920" s="26"/>
      <c r="P920" s="26"/>
      <c r="Q920" s="26"/>
      <c r="R920" s="26"/>
      <c r="S920" s="26"/>
      <c r="T920" s="26"/>
      <c r="U920" s="26"/>
      <c r="V920" s="26"/>
      <c r="W920" s="26"/>
    </row>
    <row r="921" spans="1:23">
      <c r="A921" s="26"/>
      <c r="B921" s="26"/>
      <c r="C921" s="26"/>
      <c r="D921" s="26"/>
      <c r="E921" s="26"/>
      <c r="F921" s="26"/>
      <c r="G921" s="26"/>
      <c r="H921" s="26"/>
      <c r="I921" s="26"/>
      <c r="J921" s="26"/>
      <c r="K921" s="26"/>
      <c r="L921" s="26"/>
      <c r="M921" s="26"/>
      <c r="N921" s="26"/>
      <c r="O921" s="26"/>
      <c r="P921" s="26"/>
      <c r="Q921" s="26"/>
      <c r="R921" s="26"/>
      <c r="S921" s="26"/>
      <c r="T921" s="26"/>
      <c r="U921" s="26"/>
      <c r="V921" s="26"/>
      <c r="W921" s="26"/>
    </row>
    <row r="922" spans="1:23">
      <c r="A922" s="26"/>
      <c r="B922" s="26"/>
      <c r="C922" s="26"/>
      <c r="D922" s="26"/>
      <c r="E922" s="26"/>
      <c r="F922" s="26"/>
      <c r="G922" s="26"/>
      <c r="H922" s="26"/>
      <c r="I922" s="26"/>
      <c r="J922" s="26"/>
      <c r="K922" s="26"/>
      <c r="L922" s="26"/>
      <c r="M922" s="26"/>
      <c r="N922" s="26"/>
      <c r="O922" s="26"/>
      <c r="P922" s="26"/>
      <c r="Q922" s="26"/>
      <c r="R922" s="26"/>
      <c r="S922" s="26"/>
      <c r="T922" s="26"/>
      <c r="U922" s="26"/>
      <c r="V922" s="26"/>
      <c r="W922" s="26"/>
    </row>
    <row r="923" spans="1:23">
      <c r="A923" s="26"/>
      <c r="B923" s="26"/>
      <c r="C923" s="26"/>
      <c r="D923" s="26"/>
      <c r="E923" s="26"/>
      <c r="F923" s="26"/>
      <c r="G923" s="26"/>
      <c r="H923" s="26"/>
      <c r="I923" s="26"/>
      <c r="J923" s="26"/>
      <c r="K923" s="26"/>
      <c r="L923" s="26"/>
      <c r="M923" s="26"/>
      <c r="N923" s="26"/>
      <c r="O923" s="26"/>
      <c r="P923" s="26"/>
      <c r="Q923" s="26"/>
      <c r="R923" s="26"/>
      <c r="S923" s="26"/>
      <c r="T923" s="26"/>
      <c r="U923" s="26"/>
      <c r="V923" s="26"/>
      <c r="W923" s="26"/>
    </row>
    <row r="924" spans="1:23">
      <c r="A924" s="26"/>
      <c r="B924" s="26"/>
      <c r="C924" s="26"/>
      <c r="D924" s="26"/>
      <c r="E924" s="26"/>
      <c r="F924" s="26"/>
      <c r="G924" s="26"/>
      <c r="H924" s="26"/>
      <c r="I924" s="26"/>
      <c r="J924" s="26"/>
      <c r="K924" s="26"/>
      <c r="L924" s="26"/>
      <c r="M924" s="26"/>
      <c r="N924" s="26"/>
      <c r="O924" s="26"/>
      <c r="P924" s="26"/>
      <c r="Q924" s="26"/>
      <c r="R924" s="26"/>
      <c r="S924" s="26"/>
      <c r="T924" s="26"/>
      <c r="U924" s="26"/>
      <c r="V924" s="26"/>
      <c r="W924" s="26"/>
    </row>
    <row r="925" spans="1:23">
      <c r="A925" s="26"/>
      <c r="B925" s="26"/>
      <c r="C925" s="26"/>
      <c r="D925" s="26"/>
      <c r="E925" s="26"/>
      <c r="F925" s="26"/>
      <c r="G925" s="26"/>
      <c r="H925" s="26"/>
      <c r="I925" s="26"/>
      <c r="J925" s="26"/>
      <c r="K925" s="26"/>
      <c r="L925" s="26"/>
      <c r="M925" s="26"/>
      <c r="N925" s="26"/>
      <c r="O925" s="26"/>
      <c r="P925" s="26"/>
      <c r="Q925" s="26"/>
      <c r="R925" s="26"/>
      <c r="S925" s="26"/>
      <c r="T925" s="26"/>
      <c r="U925" s="26"/>
      <c r="V925" s="26"/>
      <c r="W925" s="26"/>
    </row>
    <row r="926" spans="1:23">
      <c r="A926" s="26"/>
      <c r="B926" s="26"/>
      <c r="C926" s="26"/>
      <c r="D926" s="26"/>
      <c r="E926" s="26"/>
      <c r="F926" s="26"/>
      <c r="G926" s="26"/>
      <c r="H926" s="26"/>
      <c r="I926" s="26"/>
      <c r="J926" s="26"/>
      <c r="K926" s="26"/>
      <c r="L926" s="26"/>
      <c r="M926" s="26"/>
      <c r="N926" s="26"/>
      <c r="O926" s="26"/>
      <c r="P926" s="26"/>
      <c r="Q926" s="26"/>
      <c r="R926" s="26"/>
      <c r="S926" s="26"/>
      <c r="T926" s="26"/>
      <c r="U926" s="26"/>
      <c r="V926" s="26"/>
      <c r="W926" s="26"/>
    </row>
    <row r="927" spans="1:23">
      <c r="A927" s="26"/>
      <c r="B927" s="26"/>
      <c r="C927" s="26"/>
      <c r="D927" s="26"/>
      <c r="E927" s="26"/>
      <c r="F927" s="26"/>
      <c r="G927" s="26"/>
      <c r="H927" s="26"/>
      <c r="I927" s="26"/>
      <c r="J927" s="26"/>
      <c r="K927" s="26"/>
      <c r="L927" s="26"/>
      <c r="M927" s="26"/>
      <c r="N927" s="26"/>
      <c r="O927" s="26"/>
      <c r="P927" s="26"/>
      <c r="Q927" s="26"/>
      <c r="R927" s="26"/>
      <c r="S927" s="26"/>
      <c r="T927" s="26"/>
      <c r="U927" s="26"/>
      <c r="V927" s="26"/>
      <c r="W927" s="26"/>
    </row>
    <row r="928" spans="1:23">
      <c r="A928" s="26"/>
      <c r="B928" s="26"/>
      <c r="C928" s="26"/>
      <c r="D928" s="26"/>
      <c r="E928" s="26"/>
      <c r="F928" s="26"/>
      <c r="G928" s="26"/>
      <c r="H928" s="26"/>
      <c r="I928" s="26"/>
      <c r="J928" s="26"/>
      <c r="K928" s="26"/>
      <c r="L928" s="26"/>
      <c r="M928" s="26"/>
      <c r="N928" s="26"/>
      <c r="O928" s="26"/>
      <c r="P928" s="26"/>
      <c r="Q928" s="26"/>
      <c r="R928" s="26"/>
      <c r="S928" s="26"/>
      <c r="T928" s="26"/>
      <c r="U928" s="26"/>
      <c r="V928" s="26"/>
      <c r="W928" s="26"/>
    </row>
    <row r="929" spans="1:23">
      <c r="A929" s="26"/>
      <c r="B929" s="26"/>
      <c r="C929" s="26"/>
      <c r="D929" s="26"/>
      <c r="E929" s="26"/>
      <c r="F929" s="26"/>
      <c r="G929" s="26"/>
      <c r="H929" s="26"/>
      <c r="I929" s="26"/>
      <c r="J929" s="26"/>
      <c r="K929" s="26"/>
      <c r="L929" s="26"/>
      <c r="M929" s="26"/>
      <c r="N929" s="26"/>
      <c r="O929" s="26"/>
      <c r="P929" s="26"/>
      <c r="Q929" s="26"/>
      <c r="R929" s="26"/>
      <c r="S929" s="26"/>
      <c r="T929" s="26"/>
      <c r="U929" s="26"/>
      <c r="V929" s="26"/>
      <c r="W929" s="26"/>
    </row>
    <row r="930" spans="1:23">
      <c r="A930" s="26"/>
      <c r="B930" s="26"/>
      <c r="C930" s="26"/>
      <c r="D930" s="26"/>
      <c r="E930" s="26"/>
      <c r="F930" s="26"/>
      <c r="G930" s="26"/>
      <c r="H930" s="26"/>
      <c r="I930" s="26"/>
      <c r="J930" s="26"/>
      <c r="K930" s="26"/>
      <c r="L930" s="26"/>
      <c r="M930" s="26"/>
      <c r="N930" s="26"/>
      <c r="O930" s="26"/>
      <c r="P930" s="26"/>
      <c r="Q930" s="26"/>
      <c r="R930" s="26"/>
      <c r="S930" s="26"/>
      <c r="T930" s="26"/>
      <c r="U930" s="26"/>
      <c r="V930" s="26"/>
      <c r="W930" s="26"/>
    </row>
    <row r="931" spans="1:23">
      <c r="A931" s="26"/>
      <c r="B931" s="26"/>
      <c r="C931" s="26"/>
      <c r="D931" s="26"/>
      <c r="E931" s="26"/>
      <c r="F931" s="26"/>
      <c r="G931" s="26"/>
      <c r="H931" s="26"/>
      <c r="I931" s="26"/>
      <c r="J931" s="26"/>
      <c r="K931" s="26"/>
      <c r="L931" s="26"/>
      <c r="M931" s="26"/>
      <c r="N931" s="26"/>
      <c r="O931" s="26"/>
      <c r="P931" s="26"/>
      <c r="Q931" s="26"/>
      <c r="R931" s="26"/>
      <c r="S931" s="26"/>
      <c r="T931" s="26"/>
      <c r="U931" s="26"/>
      <c r="V931" s="26"/>
      <c r="W931" s="26"/>
    </row>
    <row r="932" spans="1:23">
      <c r="A932" s="26"/>
      <c r="B932" s="26"/>
      <c r="C932" s="26"/>
      <c r="D932" s="26"/>
      <c r="E932" s="26"/>
      <c r="F932" s="26"/>
      <c r="G932" s="26"/>
      <c r="H932" s="26"/>
      <c r="I932" s="26"/>
      <c r="J932" s="26"/>
      <c r="K932" s="26"/>
      <c r="L932" s="26"/>
      <c r="M932" s="26"/>
      <c r="N932" s="26"/>
      <c r="O932" s="26"/>
      <c r="P932" s="26"/>
      <c r="Q932" s="26"/>
      <c r="R932" s="26"/>
      <c r="S932" s="26"/>
      <c r="T932" s="26"/>
      <c r="U932" s="26"/>
      <c r="V932" s="26"/>
      <c r="W932" s="26"/>
    </row>
    <row r="933" spans="1:23">
      <c r="A933" s="26"/>
      <c r="B933" s="26"/>
      <c r="C933" s="26"/>
      <c r="D933" s="26"/>
      <c r="E933" s="26"/>
      <c r="F933" s="26"/>
      <c r="G933" s="26"/>
      <c r="H933" s="26"/>
      <c r="I933" s="26"/>
      <c r="J933" s="26"/>
      <c r="K933" s="26"/>
      <c r="L933" s="26"/>
      <c r="M933" s="26"/>
      <c r="N933" s="26"/>
      <c r="O933" s="26"/>
      <c r="P933" s="26"/>
      <c r="Q933" s="26"/>
      <c r="R933" s="26"/>
      <c r="S933" s="26"/>
      <c r="T933" s="26"/>
      <c r="U933" s="26"/>
      <c r="V933" s="26"/>
      <c r="W933" s="26"/>
    </row>
    <row r="934" spans="1:23">
      <c r="A934" s="26"/>
      <c r="B934" s="26"/>
      <c r="C934" s="26"/>
      <c r="D934" s="26"/>
      <c r="E934" s="26"/>
      <c r="F934" s="26"/>
      <c r="G934" s="26"/>
      <c r="H934" s="26"/>
      <c r="I934" s="26"/>
      <c r="J934" s="26"/>
      <c r="K934" s="26"/>
      <c r="L934" s="26"/>
      <c r="M934" s="26"/>
      <c r="N934" s="26"/>
      <c r="O934" s="26"/>
      <c r="P934" s="26"/>
      <c r="Q934" s="26"/>
      <c r="R934" s="26"/>
      <c r="S934" s="26"/>
      <c r="T934" s="26"/>
      <c r="U934" s="26"/>
      <c r="V934" s="26"/>
      <c r="W934" s="26"/>
    </row>
    <row r="935" spans="1:23">
      <c r="A935" s="26"/>
      <c r="B935" s="26"/>
      <c r="C935" s="26"/>
      <c r="D935" s="26"/>
      <c r="E935" s="26"/>
      <c r="F935" s="26"/>
      <c r="G935" s="26"/>
      <c r="H935" s="26"/>
      <c r="I935" s="26"/>
      <c r="J935" s="26"/>
      <c r="K935" s="26"/>
      <c r="L935" s="26"/>
      <c r="M935" s="26"/>
      <c r="N935" s="26"/>
      <c r="O935" s="26"/>
      <c r="P935" s="26"/>
      <c r="Q935" s="26"/>
      <c r="R935" s="26"/>
      <c r="S935" s="26"/>
      <c r="T935" s="26"/>
      <c r="U935" s="26"/>
      <c r="V935" s="26"/>
      <c r="W935" s="26"/>
    </row>
    <row r="936" spans="1:23">
      <c r="A936" s="26"/>
      <c r="B936" s="26"/>
      <c r="C936" s="26"/>
      <c r="D936" s="26"/>
      <c r="E936" s="26"/>
      <c r="F936" s="26"/>
      <c r="G936" s="26"/>
      <c r="H936" s="26"/>
      <c r="I936" s="26"/>
      <c r="J936" s="26"/>
      <c r="K936" s="26"/>
      <c r="L936" s="26"/>
      <c r="M936" s="26"/>
      <c r="N936" s="26"/>
      <c r="O936" s="26"/>
      <c r="P936" s="26"/>
      <c r="Q936" s="26"/>
      <c r="R936" s="26"/>
      <c r="S936" s="26"/>
      <c r="T936" s="26"/>
      <c r="U936" s="26"/>
      <c r="V936" s="26"/>
      <c r="W936" s="26"/>
    </row>
    <row r="937" spans="1:23">
      <c r="A937" s="26"/>
      <c r="B937" s="26"/>
      <c r="C937" s="26"/>
      <c r="D937" s="26"/>
      <c r="E937" s="26"/>
      <c r="F937" s="26"/>
      <c r="G937" s="26"/>
      <c r="H937" s="26"/>
      <c r="I937" s="26"/>
      <c r="J937" s="26"/>
      <c r="K937" s="26"/>
      <c r="L937" s="26"/>
      <c r="M937" s="26"/>
      <c r="N937" s="26"/>
      <c r="O937" s="26"/>
      <c r="P937" s="26"/>
      <c r="Q937" s="26"/>
      <c r="R937" s="26"/>
      <c r="S937" s="26"/>
      <c r="T937" s="26"/>
      <c r="U937" s="26"/>
      <c r="V937" s="26"/>
      <c r="W937" s="26"/>
    </row>
    <row r="938" spans="1:23">
      <c r="A938" s="26"/>
      <c r="B938" s="26"/>
      <c r="C938" s="26"/>
      <c r="D938" s="26"/>
      <c r="E938" s="26"/>
      <c r="F938" s="26"/>
      <c r="G938" s="26"/>
      <c r="H938" s="26"/>
      <c r="I938" s="26"/>
      <c r="J938" s="26"/>
      <c r="K938" s="26"/>
      <c r="L938" s="26"/>
      <c r="M938" s="26"/>
      <c r="N938" s="26"/>
      <c r="O938" s="26"/>
      <c r="P938" s="26"/>
      <c r="Q938" s="26"/>
      <c r="R938" s="26"/>
      <c r="S938" s="26"/>
      <c r="T938" s="26"/>
      <c r="U938" s="26"/>
      <c r="V938" s="26"/>
      <c r="W938" s="26"/>
    </row>
    <row r="939" spans="1:23">
      <c r="A939" s="26"/>
      <c r="B939" s="26"/>
      <c r="C939" s="26"/>
      <c r="D939" s="26"/>
      <c r="E939" s="26"/>
      <c r="F939" s="26"/>
      <c r="G939" s="26"/>
      <c r="H939" s="26"/>
      <c r="I939" s="26"/>
      <c r="J939" s="26"/>
      <c r="K939" s="26"/>
      <c r="L939" s="26"/>
      <c r="M939" s="26"/>
      <c r="N939" s="26"/>
      <c r="O939" s="26"/>
      <c r="P939" s="26"/>
      <c r="Q939" s="26"/>
      <c r="R939" s="26"/>
      <c r="S939" s="26"/>
      <c r="T939" s="26"/>
      <c r="U939" s="26"/>
      <c r="V939" s="26"/>
      <c r="W939" s="26"/>
    </row>
    <row r="940" spans="1:23">
      <c r="A940" s="26"/>
      <c r="B940" s="26"/>
      <c r="C940" s="26"/>
      <c r="D940" s="26"/>
      <c r="E940" s="26"/>
      <c r="F940" s="26"/>
      <c r="G940" s="26"/>
      <c r="H940" s="26"/>
      <c r="I940" s="26"/>
      <c r="J940" s="26"/>
      <c r="K940" s="26"/>
      <c r="L940" s="26"/>
      <c r="M940" s="26"/>
      <c r="N940" s="26"/>
      <c r="O940" s="26"/>
      <c r="P940" s="26"/>
      <c r="Q940" s="26"/>
      <c r="R940" s="26"/>
      <c r="S940" s="26"/>
      <c r="T940" s="26"/>
      <c r="U940" s="26"/>
      <c r="V940" s="26"/>
      <c r="W940" s="26"/>
    </row>
    <row r="941" spans="1:23">
      <c r="A941" s="26"/>
      <c r="B941" s="26"/>
      <c r="C941" s="26"/>
      <c r="D941" s="26"/>
      <c r="E941" s="26"/>
      <c r="F941" s="26"/>
      <c r="G941" s="26"/>
      <c r="H941" s="26"/>
      <c r="I941" s="26"/>
      <c r="J941" s="26"/>
      <c r="K941" s="26"/>
      <c r="L941" s="26"/>
      <c r="M941" s="26"/>
      <c r="N941" s="26"/>
      <c r="O941" s="26"/>
      <c r="P941" s="26"/>
      <c r="Q941" s="26"/>
      <c r="R941" s="26"/>
      <c r="S941" s="26"/>
      <c r="T941" s="26"/>
      <c r="U941" s="26"/>
      <c r="V941" s="26"/>
      <c r="W941" s="26"/>
    </row>
    <row r="942" spans="1:23">
      <c r="A942" s="26"/>
      <c r="B942" s="26"/>
      <c r="C942" s="26"/>
      <c r="D942" s="26"/>
      <c r="E942" s="26"/>
      <c r="F942" s="26"/>
      <c r="G942" s="26"/>
      <c r="H942" s="26"/>
      <c r="I942" s="26"/>
      <c r="J942" s="26"/>
      <c r="K942" s="26"/>
      <c r="L942" s="26"/>
      <c r="M942" s="26"/>
      <c r="N942" s="26"/>
      <c r="O942" s="26"/>
      <c r="P942" s="26"/>
      <c r="Q942" s="26"/>
      <c r="R942" s="26"/>
      <c r="S942" s="26"/>
      <c r="T942" s="26"/>
      <c r="U942" s="26"/>
      <c r="V942" s="26"/>
      <c r="W942" s="26"/>
    </row>
    <row r="943" spans="1:23">
      <c r="A943" s="26"/>
      <c r="B943" s="26"/>
      <c r="C943" s="26"/>
      <c r="D943" s="26"/>
      <c r="E943" s="26"/>
      <c r="F943" s="26"/>
      <c r="G943" s="26"/>
      <c r="H943" s="26"/>
      <c r="I943" s="26"/>
      <c r="J943" s="26"/>
      <c r="K943" s="26"/>
      <c r="L943" s="26"/>
      <c r="M943" s="26"/>
      <c r="N943" s="26"/>
      <c r="O943" s="26"/>
      <c r="P943" s="26"/>
      <c r="Q943" s="26"/>
      <c r="R943" s="26"/>
      <c r="S943" s="26"/>
      <c r="T943" s="26"/>
      <c r="U943" s="26"/>
      <c r="V943" s="26"/>
      <c r="W943" s="26"/>
    </row>
    <row r="944" spans="1:23">
      <c r="A944" s="26"/>
      <c r="B944" s="26"/>
      <c r="C944" s="26"/>
      <c r="D944" s="26"/>
      <c r="E944" s="26"/>
      <c r="F944" s="26"/>
      <c r="G944" s="26"/>
      <c r="H944" s="26"/>
      <c r="I944" s="26"/>
      <c r="J944" s="26"/>
      <c r="K944" s="26"/>
      <c r="L944" s="26"/>
      <c r="M944" s="26"/>
      <c r="N944" s="26"/>
      <c r="O944" s="26"/>
      <c r="P944" s="26"/>
      <c r="Q944" s="26"/>
      <c r="R944" s="26"/>
      <c r="S944" s="26"/>
      <c r="T944" s="26"/>
      <c r="U944" s="26"/>
      <c r="V944" s="26"/>
      <c r="W944" s="26"/>
    </row>
    <row r="945" spans="1:23">
      <c r="A945" s="26"/>
      <c r="B945" s="26"/>
      <c r="C945" s="26"/>
      <c r="D945" s="26"/>
      <c r="E945" s="26"/>
      <c r="F945" s="26"/>
      <c r="G945" s="26"/>
      <c r="H945" s="26"/>
      <c r="I945" s="26"/>
      <c r="J945" s="26"/>
      <c r="K945" s="26"/>
      <c r="L945" s="26"/>
      <c r="M945" s="26"/>
      <c r="N945" s="26"/>
      <c r="O945" s="26"/>
      <c r="P945" s="26"/>
      <c r="Q945" s="26"/>
      <c r="R945" s="26"/>
      <c r="S945" s="26"/>
      <c r="T945" s="26"/>
      <c r="U945" s="26"/>
      <c r="V945" s="26"/>
      <c r="W945" s="26"/>
    </row>
    <row r="946" spans="1:23">
      <c r="A946" s="26"/>
      <c r="B946" s="26"/>
      <c r="C946" s="26"/>
      <c r="D946" s="26"/>
      <c r="E946" s="26"/>
      <c r="F946" s="26"/>
      <c r="G946" s="26"/>
      <c r="H946" s="26"/>
      <c r="I946" s="26"/>
      <c r="J946" s="26"/>
      <c r="K946" s="26"/>
      <c r="L946" s="26"/>
      <c r="M946" s="26"/>
      <c r="N946" s="26"/>
      <c r="O946" s="26"/>
      <c r="P946" s="26"/>
      <c r="Q946" s="26"/>
      <c r="R946" s="26"/>
      <c r="S946" s="26"/>
      <c r="T946" s="26"/>
      <c r="U946" s="26"/>
      <c r="V946" s="26"/>
      <c r="W946" s="26"/>
    </row>
    <row r="947" spans="1:23">
      <c r="A947" s="26"/>
      <c r="B947" s="26"/>
      <c r="C947" s="26"/>
      <c r="D947" s="26"/>
      <c r="E947" s="26"/>
      <c r="F947" s="26"/>
      <c r="G947" s="26"/>
      <c r="H947" s="26"/>
      <c r="I947" s="26"/>
      <c r="J947" s="26"/>
      <c r="K947" s="26"/>
      <c r="L947" s="26"/>
      <c r="M947" s="26"/>
      <c r="N947" s="26"/>
      <c r="O947" s="26"/>
      <c r="P947" s="26"/>
      <c r="Q947" s="26"/>
      <c r="R947" s="26"/>
      <c r="S947" s="26"/>
      <c r="T947" s="26"/>
      <c r="U947" s="26"/>
      <c r="V947" s="26"/>
      <c r="W947" s="26"/>
    </row>
    <row r="948" spans="1:23">
      <c r="A948" s="26"/>
      <c r="B948" s="26"/>
      <c r="C948" s="26"/>
      <c r="D948" s="26"/>
      <c r="E948" s="26"/>
      <c r="F948" s="26"/>
      <c r="G948" s="26"/>
      <c r="H948" s="26"/>
      <c r="I948" s="26"/>
      <c r="J948" s="26"/>
      <c r="K948" s="26"/>
      <c r="L948" s="26"/>
      <c r="M948" s="26"/>
      <c r="N948" s="26"/>
      <c r="O948" s="26"/>
      <c r="P948" s="26"/>
      <c r="Q948" s="26"/>
      <c r="R948" s="26"/>
      <c r="S948" s="26"/>
      <c r="T948" s="26"/>
      <c r="U948" s="26"/>
      <c r="V948" s="26"/>
      <c r="W948" s="26"/>
    </row>
    <row r="949" spans="1:23">
      <c r="A949" s="26"/>
      <c r="B949" s="26"/>
      <c r="C949" s="26"/>
      <c r="D949" s="26"/>
      <c r="E949" s="26"/>
      <c r="F949" s="26"/>
      <c r="G949" s="26"/>
      <c r="H949" s="26"/>
      <c r="I949" s="26"/>
      <c r="J949" s="26"/>
      <c r="K949" s="26"/>
      <c r="L949" s="26"/>
      <c r="M949" s="26"/>
      <c r="N949" s="26"/>
      <c r="O949" s="26"/>
      <c r="P949" s="26"/>
      <c r="Q949" s="26"/>
      <c r="R949" s="26"/>
      <c r="S949" s="26"/>
      <c r="T949" s="26"/>
      <c r="U949" s="26"/>
      <c r="V949" s="26"/>
      <c r="W949" s="26"/>
    </row>
    <row r="950" spans="1:23">
      <c r="A950" s="26"/>
      <c r="B950" s="26"/>
      <c r="C950" s="26"/>
      <c r="D950" s="26"/>
      <c r="E950" s="26"/>
      <c r="F950" s="26"/>
      <c r="G950" s="26"/>
      <c r="H950" s="26"/>
      <c r="I950" s="26"/>
      <c r="J950" s="26"/>
      <c r="K950" s="26"/>
      <c r="L950" s="26"/>
      <c r="M950" s="26"/>
      <c r="N950" s="26"/>
      <c r="O950" s="26"/>
      <c r="P950" s="26"/>
      <c r="Q950" s="26"/>
      <c r="R950" s="26"/>
      <c r="S950" s="26"/>
      <c r="T950" s="26"/>
      <c r="U950" s="26"/>
      <c r="V950" s="26"/>
      <c r="W950" s="26"/>
    </row>
    <row r="951" spans="1:23">
      <c r="A951" s="26"/>
      <c r="B951" s="26"/>
      <c r="C951" s="26"/>
      <c r="D951" s="26"/>
      <c r="E951" s="26"/>
      <c r="F951" s="26"/>
      <c r="G951" s="26"/>
      <c r="H951" s="26"/>
      <c r="I951" s="26"/>
      <c r="J951" s="26"/>
      <c r="K951" s="26"/>
      <c r="L951" s="26"/>
      <c r="M951" s="26"/>
      <c r="N951" s="26"/>
      <c r="O951" s="26"/>
      <c r="P951" s="26"/>
      <c r="Q951" s="26"/>
      <c r="R951" s="26"/>
      <c r="S951" s="26"/>
      <c r="T951" s="26"/>
      <c r="U951" s="26"/>
      <c r="V951" s="26"/>
      <c r="W951" s="26"/>
    </row>
    <row r="952" spans="1:23">
      <c r="A952" s="26"/>
      <c r="B952" s="26"/>
      <c r="C952" s="26"/>
      <c r="D952" s="26"/>
      <c r="E952" s="26"/>
      <c r="F952" s="26"/>
      <c r="G952" s="26"/>
      <c r="H952" s="26"/>
      <c r="I952" s="26"/>
      <c r="J952" s="26"/>
      <c r="K952" s="26"/>
      <c r="L952" s="26"/>
      <c r="M952" s="26"/>
      <c r="N952" s="26"/>
      <c r="O952" s="26"/>
      <c r="P952" s="26"/>
      <c r="Q952" s="26"/>
      <c r="R952" s="26"/>
      <c r="S952" s="26"/>
      <c r="T952" s="26"/>
      <c r="U952" s="26"/>
      <c r="V952" s="26"/>
      <c r="W952" s="26"/>
    </row>
    <row r="953" spans="1:23">
      <c r="A953" s="26"/>
      <c r="B953" s="26"/>
      <c r="C953" s="26"/>
      <c r="D953" s="26"/>
      <c r="E953" s="26"/>
      <c r="F953" s="26"/>
      <c r="G953" s="26"/>
      <c r="H953" s="26"/>
      <c r="I953" s="26"/>
      <c r="J953" s="26"/>
      <c r="K953" s="26"/>
      <c r="L953" s="26"/>
      <c r="M953" s="26"/>
      <c r="N953" s="26"/>
      <c r="O953" s="26"/>
      <c r="P953" s="26"/>
      <c r="Q953" s="26"/>
      <c r="R953" s="26"/>
      <c r="S953" s="26"/>
      <c r="T953" s="26"/>
      <c r="U953" s="26"/>
      <c r="V953" s="26"/>
      <c r="W953" s="26"/>
    </row>
    <row r="954" spans="1:23">
      <c r="A954" s="26"/>
      <c r="B954" s="26"/>
      <c r="C954" s="26"/>
      <c r="D954" s="26"/>
      <c r="E954" s="26"/>
      <c r="F954" s="26"/>
      <c r="G954" s="26"/>
      <c r="H954" s="26"/>
      <c r="I954" s="26"/>
      <c r="J954" s="26"/>
      <c r="K954" s="26"/>
      <c r="L954" s="26"/>
      <c r="M954" s="26"/>
      <c r="N954" s="26"/>
      <c r="O954" s="26"/>
      <c r="P954" s="26"/>
      <c r="Q954" s="26"/>
      <c r="R954" s="26"/>
      <c r="S954" s="26"/>
      <c r="T954" s="26"/>
      <c r="U954" s="26"/>
      <c r="V954" s="26"/>
      <c r="W954" s="26"/>
    </row>
    <row r="955" spans="1:23">
      <c r="A955" s="26"/>
      <c r="B955" s="26"/>
      <c r="C955" s="26"/>
      <c r="D955" s="26"/>
      <c r="E955" s="26"/>
      <c r="F955" s="26"/>
      <c r="G955" s="26"/>
      <c r="H955" s="26"/>
      <c r="I955" s="26"/>
      <c r="J955" s="26"/>
      <c r="K955" s="26"/>
      <c r="L955" s="26"/>
      <c r="M955" s="26"/>
      <c r="N955" s="26"/>
      <c r="O955" s="26"/>
      <c r="P955" s="26"/>
      <c r="Q955" s="26"/>
      <c r="R955" s="26"/>
      <c r="S955" s="26"/>
      <c r="T955" s="26"/>
      <c r="U955" s="26"/>
      <c r="V955" s="26"/>
      <c r="W955" s="26"/>
    </row>
    <row r="956" spans="1:23">
      <c r="A956" s="26"/>
      <c r="B956" s="26"/>
      <c r="C956" s="26"/>
      <c r="D956" s="26"/>
      <c r="E956" s="26"/>
      <c r="F956" s="26"/>
      <c r="G956" s="26"/>
      <c r="H956" s="26"/>
      <c r="I956" s="26"/>
      <c r="J956" s="26"/>
      <c r="K956" s="26"/>
      <c r="L956" s="26"/>
      <c r="M956" s="26"/>
      <c r="N956" s="26"/>
      <c r="O956" s="26"/>
      <c r="P956" s="26"/>
      <c r="Q956" s="26"/>
      <c r="R956" s="26"/>
      <c r="S956" s="26"/>
      <c r="T956" s="26"/>
      <c r="U956" s="26"/>
      <c r="V956" s="26"/>
      <c r="W956" s="26"/>
    </row>
    <row r="957" spans="1:23">
      <c r="A957" s="26"/>
      <c r="B957" s="26"/>
      <c r="C957" s="26"/>
      <c r="D957" s="26"/>
      <c r="E957" s="26"/>
      <c r="F957" s="26"/>
      <c r="G957" s="26"/>
      <c r="H957" s="26"/>
      <c r="I957" s="26"/>
      <c r="J957" s="26"/>
      <c r="K957" s="26"/>
      <c r="L957" s="26"/>
      <c r="M957" s="26"/>
      <c r="N957" s="26"/>
      <c r="O957" s="26"/>
      <c r="P957" s="26"/>
      <c r="Q957" s="26"/>
      <c r="R957" s="26"/>
      <c r="S957" s="26"/>
      <c r="T957" s="26"/>
      <c r="U957" s="26"/>
      <c r="V957" s="26"/>
      <c r="W957" s="26"/>
    </row>
    <row r="958" spans="1:23">
      <c r="A958" s="26"/>
      <c r="B958" s="26"/>
      <c r="C958" s="26"/>
      <c r="D958" s="26"/>
      <c r="E958" s="26"/>
      <c r="F958" s="26"/>
      <c r="G958" s="26"/>
      <c r="H958" s="26"/>
      <c r="I958" s="26"/>
      <c r="J958" s="26"/>
      <c r="K958" s="26"/>
      <c r="L958" s="26"/>
      <c r="M958" s="26"/>
      <c r="N958" s="26"/>
      <c r="O958" s="26"/>
      <c r="P958" s="26"/>
      <c r="Q958" s="26"/>
      <c r="R958" s="26"/>
      <c r="S958" s="26"/>
      <c r="T958" s="26"/>
      <c r="U958" s="26"/>
      <c r="V958" s="26"/>
      <c r="W958" s="26"/>
    </row>
    <row r="959" spans="1:23">
      <c r="A959" s="26"/>
      <c r="B959" s="26"/>
      <c r="C959" s="26"/>
      <c r="D959" s="26"/>
      <c r="E959" s="26"/>
      <c r="F959" s="26"/>
      <c r="G959" s="26"/>
      <c r="H959" s="26"/>
      <c r="I959" s="26"/>
      <c r="J959" s="26"/>
      <c r="K959" s="26"/>
      <c r="L959" s="26"/>
      <c r="M959" s="26"/>
      <c r="N959" s="26"/>
      <c r="O959" s="26"/>
      <c r="P959" s="26"/>
      <c r="Q959" s="26"/>
      <c r="R959" s="26"/>
      <c r="S959" s="26"/>
      <c r="T959" s="26"/>
      <c r="U959" s="26"/>
      <c r="V959" s="26"/>
      <c r="W959" s="26"/>
    </row>
    <row r="960" spans="1:23">
      <c r="A960" s="26"/>
      <c r="B960" s="26"/>
      <c r="C960" s="26"/>
      <c r="D960" s="26"/>
      <c r="E960" s="26"/>
      <c r="F960" s="26"/>
      <c r="G960" s="26"/>
      <c r="H960" s="26"/>
      <c r="I960" s="26"/>
      <c r="J960" s="26"/>
      <c r="K960" s="26"/>
      <c r="L960" s="26"/>
      <c r="M960" s="26"/>
      <c r="N960" s="26"/>
      <c r="O960" s="26"/>
      <c r="P960" s="26"/>
      <c r="Q960" s="26"/>
      <c r="R960" s="26"/>
      <c r="S960" s="26"/>
      <c r="T960" s="26"/>
      <c r="U960" s="26"/>
      <c r="V960" s="26"/>
      <c r="W960" s="26"/>
    </row>
    <row r="961" spans="1:23">
      <c r="A961" s="26"/>
      <c r="B961" s="26"/>
      <c r="C961" s="26"/>
      <c r="D961" s="26"/>
      <c r="E961" s="26"/>
      <c r="F961" s="26"/>
      <c r="G961" s="26"/>
      <c r="H961" s="26"/>
      <c r="I961" s="26"/>
      <c r="J961" s="26"/>
      <c r="K961" s="26"/>
      <c r="L961" s="26"/>
      <c r="M961" s="26"/>
      <c r="N961" s="26"/>
      <c r="O961" s="26"/>
      <c r="P961" s="26"/>
      <c r="Q961" s="26"/>
      <c r="R961" s="26"/>
      <c r="S961" s="26"/>
      <c r="T961" s="26"/>
      <c r="U961" s="26"/>
      <c r="V961" s="26"/>
      <c r="W961" s="26"/>
    </row>
    <row r="962" spans="1:23">
      <c r="A962" s="26"/>
      <c r="B962" s="26"/>
      <c r="C962" s="26"/>
      <c r="D962" s="26"/>
      <c r="E962" s="26"/>
      <c r="F962" s="26"/>
      <c r="G962" s="26"/>
      <c r="H962" s="26"/>
      <c r="I962" s="26"/>
      <c r="J962" s="26"/>
      <c r="K962" s="26"/>
      <c r="L962" s="26"/>
      <c r="M962" s="26"/>
      <c r="N962" s="26"/>
      <c r="O962" s="26"/>
      <c r="P962" s="26"/>
      <c r="Q962" s="26"/>
      <c r="R962" s="26"/>
      <c r="S962" s="26"/>
      <c r="T962" s="26"/>
      <c r="U962" s="26"/>
      <c r="V962" s="26"/>
      <c r="W962" s="26"/>
    </row>
    <row r="963" spans="1:23">
      <c r="A963" s="26"/>
      <c r="B963" s="26"/>
      <c r="C963" s="26"/>
      <c r="D963" s="26"/>
      <c r="E963" s="26"/>
      <c r="F963" s="26"/>
      <c r="G963" s="26"/>
      <c r="H963" s="26"/>
      <c r="I963" s="26"/>
      <c r="J963" s="26"/>
      <c r="K963" s="26"/>
      <c r="L963" s="26"/>
      <c r="M963" s="26"/>
      <c r="N963" s="26"/>
      <c r="O963" s="26"/>
      <c r="P963" s="26"/>
      <c r="Q963" s="26"/>
      <c r="R963" s="26"/>
      <c r="S963" s="26"/>
      <c r="T963" s="26"/>
      <c r="U963" s="26"/>
      <c r="V963" s="26"/>
      <c r="W963" s="26"/>
    </row>
    <row r="964" spans="1:23">
      <c r="A964" s="26"/>
      <c r="B964" s="26"/>
      <c r="C964" s="26"/>
      <c r="D964" s="26"/>
      <c r="E964" s="26"/>
      <c r="F964" s="26"/>
      <c r="G964" s="26"/>
      <c r="H964" s="26"/>
      <c r="I964" s="26"/>
      <c r="J964" s="26"/>
      <c r="K964" s="26"/>
      <c r="L964" s="26"/>
      <c r="M964" s="26"/>
      <c r="N964" s="26"/>
      <c r="O964" s="26"/>
      <c r="P964" s="26"/>
      <c r="Q964" s="26"/>
      <c r="R964" s="26"/>
      <c r="S964" s="26"/>
      <c r="T964" s="26"/>
      <c r="U964" s="26"/>
      <c r="V964" s="26"/>
      <c r="W964" s="26"/>
    </row>
    <row r="965" spans="1:23">
      <c r="A965" s="26"/>
      <c r="B965" s="26"/>
      <c r="C965" s="26"/>
      <c r="D965" s="26"/>
      <c r="E965" s="26"/>
      <c r="F965" s="26"/>
      <c r="G965" s="26"/>
      <c r="H965" s="26"/>
      <c r="I965" s="26"/>
      <c r="J965" s="26"/>
      <c r="K965" s="26"/>
      <c r="L965" s="26"/>
      <c r="M965" s="26"/>
      <c r="N965" s="26"/>
      <c r="O965" s="26"/>
      <c r="P965" s="26"/>
      <c r="Q965" s="26"/>
      <c r="R965" s="26"/>
      <c r="S965" s="26"/>
      <c r="T965" s="26"/>
      <c r="U965" s="26"/>
      <c r="V965" s="26"/>
      <c r="W965" s="26"/>
    </row>
    <row r="966" spans="1:23">
      <c r="A966" s="26"/>
      <c r="B966" s="26"/>
      <c r="C966" s="26"/>
      <c r="D966" s="26"/>
      <c r="E966" s="26"/>
      <c r="F966" s="26"/>
      <c r="G966" s="26"/>
      <c r="H966" s="26"/>
      <c r="I966" s="26"/>
      <c r="J966" s="26"/>
      <c r="K966" s="26"/>
      <c r="L966" s="26"/>
      <c r="M966" s="26"/>
      <c r="N966" s="26"/>
      <c r="O966" s="26"/>
      <c r="P966" s="26"/>
      <c r="Q966" s="26"/>
      <c r="R966" s="26"/>
      <c r="S966" s="26"/>
      <c r="T966" s="26"/>
      <c r="U966" s="26"/>
      <c r="V966" s="26"/>
      <c r="W966" s="26"/>
    </row>
    <row r="967" spans="1:23">
      <c r="A967" s="26"/>
      <c r="B967" s="26"/>
      <c r="C967" s="26"/>
      <c r="D967" s="26"/>
      <c r="E967" s="26"/>
      <c r="F967" s="26"/>
      <c r="G967" s="26"/>
      <c r="H967" s="26"/>
      <c r="I967" s="26"/>
      <c r="J967" s="26"/>
      <c r="K967" s="26"/>
      <c r="L967" s="26"/>
      <c r="M967" s="26"/>
      <c r="N967" s="26"/>
      <c r="O967" s="26"/>
      <c r="P967" s="26"/>
      <c r="Q967" s="26"/>
      <c r="R967" s="26"/>
      <c r="S967" s="26"/>
      <c r="T967" s="26"/>
      <c r="U967" s="26"/>
      <c r="V967" s="26"/>
      <c r="W967" s="26"/>
    </row>
    <row r="968" spans="1:23">
      <c r="A968" s="26"/>
      <c r="B968" s="26"/>
      <c r="C968" s="26"/>
      <c r="D968" s="26"/>
      <c r="E968" s="26"/>
      <c r="F968" s="26"/>
      <c r="G968" s="26"/>
      <c r="H968" s="26"/>
      <c r="I968" s="26"/>
      <c r="J968" s="26"/>
      <c r="K968" s="26"/>
      <c r="L968" s="26"/>
      <c r="M968" s="26"/>
      <c r="N968" s="26"/>
      <c r="O968" s="26"/>
      <c r="P968" s="26"/>
      <c r="Q968" s="26"/>
      <c r="R968" s="26"/>
      <c r="S968" s="26"/>
      <c r="T968" s="26"/>
      <c r="U968" s="26"/>
      <c r="V968" s="26"/>
      <c r="W968" s="26"/>
    </row>
    <row r="969" spans="1:23">
      <c r="A969" s="26"/>
      <c r="B969" s="26"/>
      <c r="C969" s="26"/>
      <c r="D969" s="26"/>
      <c r="E969" s="26"/>
      <c r="F969" s="26"/>
      <c r="G969" s="26"/>
      <c r="H969" s="26"/>
      <c r="I969" s="26"/>
      <c r="J969" s="26"/>
      <c r="K969" s="26"/>
      <c r="L969" s="26"/>
      <c r="M969" s="26"/>
      <c r="N969" s="26"/>
      <c r="O969" s="26"/>
      <c r="P969" s="26"/>
      <c r="Q969" s="26"/>
      <c r="R969" s="26"/>
      <c r="S969" s="26"/>
      <c r="T969" s="26"/>
      <c r="U969" s="26"/>
      <c r="V969" s="26"/>
      <c r="W969" s="26"/>
    </row>
    <row r="970" spans="1:23">
      <c r="A970" s="26"/>
      <c r="B970" s="26"/>
      <c r="C970" s="26"/>
      <c r="D970" s="26"/>
      <c r="E970" s="26"/>
      <c r="F970" s="26"/>
      <c r="G970" s="26"/>
      <c r="H970" s="26"/>
      <c r="I970" s="26"/>
      <c r="J970" s="26"/>
      <c r="K970" s="26"/>
      <c r="L970" s="26"/>
      <c r="M970" s="26"/>
      <c r="N970" s="26"/>
      <c r="O970" s="26"/>
      <c r="P970" s="26"/>
      <c r="Q970" s="26"/>
      <c r="R970" s="26"/>
      <c r="S970" s="26"/>
      <c r="T970" s="26"/>
      <c r="U970" s="26"/>
      <c r="V970" s="26"/>
      <c r="W970" s="26"/>
    </row>
    <row r="971" spans="1:23">
      <c r="A971" s="26"/>
      <c r="B971" s="26"/>
      <c r="C971" s="26"/>
      <c r="D971" s="26"/>
      <c r="E971" s="26"/>
      <c r="F971" s="26"/>
      <c r="G971" s="26"/>
      <c r="H971" s="26"/>
      <c r="I971" s="26"/>
      <c r="J971" s="26"/>
      <c r="K971" s="26"/>
      <c r="L971" s="26"/>
      <c r="M971" s="26"/>
      <c r="N971" s="26"/>
      <c r="O971" s="26"/>
      <c r="P971" s="26"/>
      <c r="Q971" s="26"/>
      <c r="R971" s="26"/>
      <c r="S971" s="26"/>
      <c r="T971" s="26"/>
      <c r="U971" s="26"/>
      <c r="V971" s="26"/>
      <c r="W971" s="26"/>
    </row>
    <row r="972" spans="1:23">
      <c r="A972" s="26"/>
      <c r="B972" s="26"/>
      <c r="C972" s="26"/>
      <c r="D972" s="26"/>
      <c r="E972" s="26"/>
      <c r="F972" s="26"/>
      <c r="G972" s="26"/>
      <c r="H972" s="26"/>
      <c r="I972" s="26"/>
      <c r="J972" s="26"/>
      <c r="K972" s="26"/>
      <c r="L972" s="26"/>
      <c r="M972" s="26"/>
      <c r="N972" s="26"/>
      <c r="O972" s="26"/>
      <c r="P972" s="26"/>
      <c r="Q972" s="26"/>
      <c r="R972" s="26"/>
      <c r="S972" s="26"/>
      <c r="T972" s="26"/>
      <c r="U972" s="26"/>
      <c r="V972" s="26"/>
      <c r="W972" s="26"/>
    </row>
    <row r="973" spans="1:23">
      <c r="A973" s="26"/>
      <c r="B973" s="26"/>
      <c r="C973" s="26"/>
      <c r="D973" s="26"/>
      <c r="E973" s="26"/>
      <c r="F973" s="26"/>
      <c r="G973" s="26"/>
      <c r="H973" s="26"/>
      <c r="I973" s="26"/>
      <c r="J973" s="26"/>
      <c r="K973" s="26"/>
      <c r="L973" s="26"/>
      <c r="M973" s="26"/>
      <c r="N973" s="26"/>
      <c r="O973" s="26"/>
      <c r="P973" s="26"/>
      <c r="Q973" s="26"/>
      <c r="R973" s="26"/>
      <c r="S973" s="26"/>
      <c r="T973" s="26"/>
      <c r="U973" s="26"/>
      <c r="V973" s="26"/>
      <c r="W973" s="26"/>
    </row>
    <row r="974" spans="1:23">
      <c r="A974" s="26"/>
      <c r="B974" s="26"/>
      <c r="C974" s="26"/>
      <c r="D974" s="26"/>
      <c r="E974" s="26"/>
      <c r="F974" s="26"/>
      <c r="G974" s="26"/>
      <c r="H974" s="26"/>
      <c r="I974" s="26"/>
      <c r="J974" s="26"/>
      <c r="K974" s="26"/>
      <c r="L974" s="26"/>
      <c r="M974" s="26"/>
      <c r="N974" s="26"/>
      <c r="O974" s="26"/>
      <c r="P974" s="26"/>
      <c r="Q974" s="26"/>
      <c r="R974" s="26"/>
      <c r="S974" s="26"/>
      <c r="T974" s="26"/>
      <c r="U974" s="26"/>
      <c r="V974" s="26"/>
      <c r="W974" s="26"/>
    </row>
    <row r="975" spans="1:23">
      <c r="A975" s="26"/>
      <c r="B975" s="26"/>
      <c r="C975" s="26"/>
      <c r="D975" s="26"/>
      <c r="E975" s="26"/>
      <c r="F975" s="26"/>
      <c r="G975" s="26"/>
      <c r="H975" s="26"/>
      <c r="I975" s="26"/>
      <c r="J975" s="26"/>
      <c r="K975" s="26"/>
      <c r="L975" s="26"/>
      <c r="M975" s="26"/>
      <c r="N975" s="26"/>
      <c r="O975" s="26"/>
      <c r="P975" s="26"/>
      <c r="Q975" s="26"/>
      <c r="R975" s="26"/>
      <c r="S975" s="26"/>
      <c r="T975" s="26"/>
      <c r="U975" s="26"/>
      <c r="V975" s="26"/>
      <c r="W975" s="26"/>
    </row>
    <row r="976" spans="1:23">
      <c r="A976" s="26"/>
      <c r="B976" s="26"/>
      <c r="C976" s="26"/>
      <c r="D976" s="26"/>
      <c r="E976" s="26"/>
      <c r="F976" s="26"/>
      <c r="G976" s="26"/>
      <c r="H976" s="26"/>
      <c r="I976" s="26"/>
      <c r="J976" s="26"/>
      <c r="K976" s="26"/>
      <c r="L976" s="26"/>
      <c r="M976" s="26"/>
      <c r="N976" s="26"/>
      <c r="O976" s="26"/>
      <c r="P976" s="26"/>
      <c r="Q976" s="26"/>
      <c r="R976" s="26"/>
      <c r="S976" s="26"/>
      <c r="T976" s="26"/>
      <c r="U976" s="26"/>
      <c r="V976" s="26"/>
      <c r="W976" s="26"/>
    </row>
    <row r="977" spans="1:23">
      <c r="A977" s="26"/>
      <c r="B977" s="26"/>
      <c r="C977" s="26"/>
      <c r="D977" s="26"/>
      <c r="E977" s="26"/>
      <c r="F977" s="26"/>
      <c r="G977" s="26"/>
      <c r="H977" s="26"/>
      <c r="I977" s="26"/>
      <c r="J977" s="26"/>
      <c r="K977" s="26"/>
      <c r="L977" s="26"/>
      <c r="M977" s="26"/>
      <c r="N977" s="26"/>
      <c r="O977" s="26"/>
      <c r="P977" s="26"/>
      <c r="Q977" s="26"/>
      <c r="R977" s="26"/>
      <c r="S977" s="26"/>
      <c r="T977" s="26"/>
      <c r="U977" s="26"/>
      <c r="V977" s="26"/>
      <c r="W977" s="26"/>
    </row>
    <row r="978" spans="1:23">
      <c r="A978" s="26"/>
      <c r="B978" s="26"/>
      <c r="C978" s="26"/>
      <c r="D978" s="26"/>
      <c r="E978" s="26"/>
      <c r="F978" s="26"/>
      <c r="G978" s="26"/>
      <c r="H978" s="26"/>
      <c r="I978" s="26"/>
      <c r="J978" s="26"/>
      <c r="K978" s="26"/>
      <c r="L978" s="26"/>
      <c r="M978" s="26"/>
      <c r="N978" s="26"/>
      <c r="O978" s="26"/>
      <c r="P978" s="26"/>
      <c r="Q978" s="26"/>
      <c r="R978" s="26"/>
      <c r="S978" s="26"/>
      <c r="T978" s="26"/>
      <c r="U978" s="26"/>
      <c r="V978" s="26"/>
      <c r="W978" s="26"/>
    </row>
    <row r="979" spans="1:23">
      <c r="A979" s="26"/>
      <c r="B979" s="26"/>
      <c r="C979" s="26"/>
      <c r="D979" s="26"/>
      <c r="E979" s="26"/>
      <c r="F979" s="26"/>
      <c r="G979" s="26"/>
      <c r="H979" s="26"/>
      <c r="I979" s="26"/>
      <c r="J979" s="26"/>
      <c r="K979" s="26"/>
      <c r="L979" s="26"/>
      <c r="M979" s="26"/>
      <c r="N979" s="26"/>
      <c r="O979" s="26"/>
      <c r="P979" s="26"/>
      <c r="Q979" s="26"/>
      <c r="R979" s="26"/>
      <c r="S979" s="26"/>
      <c r="T979" s="26"/>
      <c r="U979" s="26"/>
      <c r="V979" s="26"/>
      <c r="W979" s="26"/>
    </row>
    <row r="980" spans="1:23">
      <c r="A980" s="26"/>
      <c r="B980" s="26"/>
      <c r="C980" s="26"/>
      <c r="D980" s="26"/>
      <c r="E980" s="26"/>
      <c r="F980" s="26"/>
      <c r="G980" s="26"/>
      <c r="H980" s="26"/>
      <c r="I980" s="26"/>
      <c r="J980" s="26"/>
      <c r="K980" s="26"/>
      <c r="L980" s="26"/>
      <c r="M980" s="26"/>
      <c r="N980" s="26"/>
      <c r="O980" s="26"/>
      <c r="P980" s="26"/>
      <c r="Q980" s="26"/>
      <c r="R980" s="26"/>
      <c r="S980" s="26"/>
      <c r="T980" s="26"/>
      <c r="U980" s="26"/>
      <c r="V980" s="26"/>
      <c r="W980" s="26"/>
    </row>
    <row r="981" spans="1:23">
      <c r="A981" s="26"/>
      <c r="B981" s="26"/>
      <c r="C981" s="26"/>
      <c r="D981" s="26"/>
      <c r="E981" s="26"/>
      <c r="F981" s="26"/>
      <c r="G981" s="26"/>
      <c r="H981" s="26"/>
      <c r="I981" s="26"/>
      <c r="J981" s="26"/>
      <c r="K981" s="26"/>
      <c r="L981" s="26"/>
      <c r="M981" s="26"/>
      <c r="N981" s="26"/>
      <c r="O981" s="26"/>
      <c r="P981" s="26"/>
      <c r="Q981" s="26"/>
      <c r="R981" s="26"/>
      <c r="S981" s="26"/>
      <c r="T981" s="26"/>
      <c r="U981" s="26"/>
      <c r="V981" s="26"/>
      <c r="W981" s="26"/>
    </row>
    <row r="982" spans="1:23">
      <c r="A982" s="26"/>
      <c r="B982" s="26"/>
      <c r="C982" s="26"/>
      <c r="D982" s="26"/>
      <c r="E982" s="26"/>
      <c r="F982" s="26"/>
      <c r="G982" s="26"/>
      <c r="H982" s="26"/>
      <c r="I982" s="26"/>
      <c r="J982" s="26"/>
      <c r="K982" s="26"/>
      <c r="L982" s="26"/>
      <c r="M982" s="26"/>
      <c r="N982" s="26"/>
      <c r="O982" s="26"/>
      <c r="P982" s="26"/>
      <c r="Q982" s="26"/>
      <c r="R982" s="26"/>
      <c r="S982" s="26"/>
      <c r="T982" s="26"/>
      <c r="U982" s="26"/>
      <c r="V982" s="26"/>
      <c r="W982" s="26"/>
    </row>
    <row r="983" spans="1:23">
      <c r="A983" s="26"/>
      <c r="B983" s="26"/>
      <c r="C983" s="26"/>
      <c r="D983" s="26"/>
      <c r="E983" s="26"/>
      <c r="F983" s="26"/>
      <c r="G983" s="26"/>
      <c r="H983" s="26"/>
      <c r="I983" s="26"/>
      <c r="J983" s="26"/>
      <c r="K983" s="26"/>
      <c r="L983" s="26"/>
      <c r="M983" s="26"/>
      <c r="N983" s="26"/>
      <c r="O983" s="26"/>
      <c r="P983" s="26"/>
      <c r="Q983" s="26"/>
      <c r="R983" s="26"/>
      <c r="S983" s="26"/>
      <c r="T983" s="26"/>
      <c r="U983" s="26"/>
      <c r="V983" s="26"/>
      <c r="W983" s="26"/>
    </row>
    <row r="984" spans="1:23">
      <c r="A984" s="26"/>
      <c r="B984" s="26"/>
      <c r="C984" s="26"/>
      <c r="D984" s="26"/>
      <c r="E984" s="26"/>
      <c r="F984" s="26"/>
      <c r="G984" s="26"/>
      <c r="H984" s="26"/>
      <c r="I984" s="26"/>
      <c r="J984" s="26"/>
      <c r="K984" s="26"/>
      <c r="L984" s="26"/>
      <c r="M984" s="26"/>
      <c r="N984" s="26"/>
      <c r="O984" s="26"/>
      <c r="P984" s="26"/>
      <c r="Q984" s="26"/>
      <c r="R984" s="26"/>
      <c r="S984" s="26"/>
      <c r="T984" s="26"/>
      <c r="U984" s="26"/>
      <c r="V984" s="26"/>
      <c r="W984" s="26"/>
    </row>
    <row r="985" spans="1:23">
      <c r="A985" s="26"/>
      <c r="B985" s="26"/>
      <c r="C985" s="26"/>
      <c r="D985" s="26"/>
      <c r="E985" s="26"/>
      <c r="F985" s="26"/>
      <c r="G985" s="26"/>
      <c r="H985" s="26"/>
      <c r="I985" s="26"/>
      <c r="J985" s="26"/>
      <c r="K985" s="26"/>
      <c r="L985" s="26"/>
      <c r="M985" s="26"/>
      <c r="N985" s="26"/>
      <c r="O985" s="26"/>
      <c r="P985" s="26"/>
      <c r="Q985" s="26"/>
      <c r="R985" s="26"/>
      <c r="S985" s="26"/>
      <c r="T985" s="26"/>
      <c r="U985" s="26"/>
      <c r="V985" s="26"/>
      <c r="W985" s="26"/>
    </row>
    <row r="986" spans="1:23">
      <c r="A986" s="26"/>
      <c r="B986" s="26"/>
      <c r="C986" s="26"/>
      <c r="D986" s="26"/>
      <c r="E986" s="26"/>
      <c r="F986" s="26"/>
      <c r="G986" s="26"/>
      <c r="H986" s="26"/>
      <c r="I986" s="26"/>
      <c r="J986" s="26"/>
      <c r="K986" s="26"/>
      <c r="L986" s="26"/>
      <c r="M986" s="26"/>
      <c r="N986" s="26"/>
      <c r="O986" s="26"/>
      <c r="P986" s="26"/>
      <c r="Q986" s="26"/>
      <c r="R986" s="26"/>
      <c r="S986" s="26"/>
      <c r="T986" s="26"/>
      <c r="U986" s="26"/>
      <c r="V986" s="26"/>
      <c r="W986" s="26"/>
    </row>
    <row r="987" spans="1:23">
      <c r="A987" s="26"/>
      <c r="B987" s="26"/>
      <c r="C987" s="26"/>
      <c r="D987" s="26"/>
      <c r="E987" s="26"/>
      <c r="F987" s="26"/>
      <c r="G987" s="26"/>
      <c r="H987" s="26"/>
      <c r="I987" s="26"/>
      <c r="J987" s="26"/>
      <c r="K987" s="26"/>
      <c r="L987" s="26"/>
      <c r="M987" s="26"/>
      <c r="N987" s="26"/>
      <c r="O987" s="26"/>
      <c r="P987" s="26"/>
      <c r="Q987" s="26"/>
      <c r="R987" s="26"/>
      <c r="S987" s="26"/>
      <c r="T987" s="26"/>
      <c r="U987" s="26"/>
      <c r="V987" s="26"/>
      <c r="W987" s="26"/>
    </row>
    <row r="988" spans="1:23">
      <c r="A988" s="26"/>
      <c r="B988" s="26"/>
      <c r="C988" s="26"/>
      <c r="D988" s="26"/>
      <c r="E988" s="26"/>
      <c r="F988" s="26"/>
      <c r="G988" s="26"/>
      <c r="H988" s="26"/>
      <c r="I988" s="26"/>
      <c r="J988" s="26"/>
      <c r="K988" s="26"/>
      <c r="L988" s="26"/>
      <c r="M988" s="26"/>
      <c r="N988" s="26"/>
      <c r="O988" s="26"/>
      <c r="P988" s="26"/>
      <c r="Q988" s="26"/>
      <c r="R988" s="26"/>
      <c r="S988" s="26"/>
      <c r="T988" s="26"/>
      <c r="U988" s="26"/>
      <c r="V988" s="26"/>
      <c r="W988" s="26"/>
    </row>
    <row r="989" spans="1:23">
      <c r="A989" s="26"/>
      <c r="B989" s="26"/>
      <c r="C989" s="26"/>
      <c r="D989" s="26"/>
      <c r="E989" s="26"/>
      <c r="F989" s="26"/>
      <c r="G989" s="26"/>
      <c r="H989" s="26"/>
      <c r="I989" s="26"/>
      <c r="J989" s="26"/>
      <c r="K989" s="26"/>
      <c r="L989" s="26"/>
      <c r="M989" s="26"/>
      <c r="N989" s="26"/>
      <c r="O989" s="26"/>
      <c r="P989" s="26"/>
      <c r="Q989" s="26"/>
      <c r="R989" s="26"/>
      <c r="S989" s="26"/>
      <c r="T989" s="26"/>
      <c r="U989" s="26"/>
      <c r="V989" s="26"/>
      <c r="W989" s="26"/>
    </row>
    <row r="990" spans="1:23">
      <c r="A990" s="26"/>
      <c r="B990" s="26"/>
      <c r="C990" s="26"/>
      <c r="D990" s="26"/>
      <c r="E990" s="26"/>
      <c r="F990" s="26"/>
      <c r="G990" s="26"/>
      <c r="H990" s="26"/>
      <c r="I990" s="26"/>
      <c r="J990" s="26"/>
      <c r="K990" s="26"/>
      <c r="L990" s="26"/>
      <c r="M990" s="26"/>
      <c r="N990" s="26"/>
      <c r="O990" s="26"/>
      <c r="P990" s="26"/>
      <c r="Q990" s="26"/>
      <c r="R990" s="26"/>
      <c r="S990" s="26"/>
      <c r="T990" s="26"/>
      <c r="U990" s="26"/>
      <c r="V990" s="26"/>
      <c r="W990" s="26"/>
    </row>
    <row r="991" spans="1:23">
      <c r="A991" s="26"/>
      <c r="B991" s="26"/>
      <c r="C991" s="26"/>
      <c r="D991" s="26"/>
      <c r="E991" s="26"/>
      <c r="F991" s="26"/>
      <c r="G991" s="26"/>
      <c r="H991" s="26"/>
      <c r="I991" s="26"/>
      <c r="J991" s="26"/>
      <c r="K991" s="26"/>
      <c r="L991" s="26"/>
      <c r="M991" s="26"/>
      <c r="N991" s="26"/>
      <c r="O991" s="26"/>
      <c r="P991" s="26"/>
      <c r="Q991" s="26"/>
      <c r="R991" s="26"/>
      <c r="S991" s="26"/>
      <c r="T991" s="26"/>
      <c r="U991" s="26"/>
      <c r="V991" s="26"/>
      <c r="W991" s="26"/>
    </row>
    <row r="992" spans="1:23">
      <c r="A992" s="26"/>
      <c r="B992" s="26"/>
      <c r="C992" s="26"/>
      <c r="D992" s="26"/>
      <c r="E992" s="26"/>
      <c r="F992" s="26"/>
      <c r="G992" s="26"/>
      <c r="H992" s="26"/>
      <c r="I992" s="26"/>
      <c r="J992" s="26"/>
      <c r="K992" s="26"/>
      <c r="L992" s="26"/>
      <c r="M992" s="26"/>
      <c r="N992" s="26"/>
      <c r="O992" s="26"/>
      <c r="P992" s="26"/>
      <c r="Q992" s="26"/>
      <c r="R992" s="26"/>
      <c r="S992" s="26"/>
      <c r="T992" s="26"/>
      <c r="U992" s="26"/>
      <c r="V992" s="26"/>
      <c r="W992" s="26"/>
    </row>
    <row r="993" spans="1:23">
      <c r="A993" s="26"/>
      <c r="B993" s="26"/>
      <c r="C993" s="26"/>
      <c r="D993" s="26"/>
      <c r="E993" s="26"/>
      <c r="F993" s="26"/>
      <c r="G993" s="26"/>
      <c r="H993" s="26"/>
      <c r="I993" s="26"/>
      <c r="J993" s="26"/>
      <c r="K993" s="26"/>
      <c r="L993" s="26"/>
      <c r="M993" s="26"/>
      <c r="N993" s="26"/>
      <c r="O993" s="26"/>
      <c r="P993" s="26"/>
      <c r="Q993" s="26"/>
      <c r="R993" s="26"/>
      <c r="S993" s="26"/>
      <c r="T993" s="26"/>
      <c r="U993" s="26"/>
      <c r="V993" s="26"/>
      <c r="W993" s="26"/>
    </row>
    <row r="994" spans="1:23">
      <c r="A994" s="26"/>
      <c r="B994" s="26"/>
      <c r="C994" s="26"/>
      <c r="D994" s="26"/>
      <c r="E994" s="26"/>
      <c r="F994" s="26"/>
      <c r="G994" s="26"/>
      <c r="H994" s="26"/>
      <c r="I994" s="26"/>
      <c r="J994" s="26"/>
      <c r="K994" s="26"/>
      <c r="L994" s="26"/>
      <c r="M994" s="26"/>
      <c r="N994" s="26"/>
      <c r="O994" s="26"/>
      <c r="P994" s="26"/>
      <c r="Q994" s="26"/>
      <c r="R994" s="26"/>
      <c r="S994" s="26"/>
      <c r="T994" s="26"/>
      <c r="U994" s="26"/>
      <c r="V994" s="26"/>
      <c r="W994" s="26"/>
    </row>
    <row r="995" spans="1:23">
      <c r="A995" s="26"/>
      <c r="B995" s="26"/>
      <c r="C995" s="26"/>
      <c r="D995" s="26"/>
      <c r="E995" s="26"/>
      <c r="F995" s="26"/>
      <c r="G995" s="26"/>
      <c r="H995" s="26"/>
      <c r="I995" s="26"/>
      <c r="J995" s="26"/>
      <c r="K995" s="26"/>
      <c r="L995" s="26"/>
      <c r="M995" s="26"/>
      <c r="N995" s="26"/>
      <c r="O995" s="26"/>
      <c r="P995" s="26"/>
      <c r="Q995" s="26"/>
      <c r="R995" s="26"/>
      <c r="S995" s="26"/>
      <c r="T995" s="26"/>
      <c r="U995" s="26"/>
      <c r="V995" s="26"/>
      <c r="W995" s="26"/>
    </row>
    <row r="996" spans="1:23">
      <c r="A996" s="26"/>
      <c r="B996" s="26"/>
      <c r="C996" s="26"/>
      <c r="D996" s="26"/>
      <c r="E996" s="26"/>
      <c r="F996" s="26"/>
      <c r="G996" s="26"/>
      <c r="H996" s="26"/>
      <c r="I996" s="26"/>
      <c r="J996" s="26"/>
      <c r="K996" s="26"/>
      <c r="L996" s="26"/>
      <c r="M996" s="26"/>
      <c r="N996" s="26"/>
      <c r="O996" s="26"/>
      <c r="P996" s="26"/>
      <c r="Q996" s="26"/>
      <c r="R996" s="26"/>
      <c r="S996" s="26"/>
      <c r="T996" s="26"/>
      <c r="U996" s="26"/>
      <c r="V996" s="26"/>
      <c r="W996" s="26"/>
    </row>
    <row r="997" spans="1:23">
      <c r="A997" s="26"/>
      <c r="B997" s="26"/>
      <c r="C997" s="26"/>
      <c r="D997" s="26"/>
      <c r="E997" s="26"/>
      <c r="F997" s="26"/>
      <c r="G997" s="26"/>
      <c r="H997" s="26"/>
      <c r="I997" s="26"/>
      <c r="J997" s="26"/>
      <c r="K997" s="26"/>
      <c r="L997" s="26"/>
      <c r="M997" s="26"/>
      <c r="N997" s="26"/>
      <c r="O997" s="26"/>
      <c r="P997" s="26"/>
      <c r="Q997" s="26"/>
      <c r="R997" s="26"/>
      <c r="S997" s="26"/>
      <c r="T997" s="26"/>
      <c r="U997" s="26"/>
      <c r="V997" s="26"/>
      <c r="W997" s="26"/>
    </row>
    <row r="998" spans="1:23">
      <c r="A998" s="26"/>
      <c r="B998" s="26"/>
      <c r="C998" s="26"/>
      <c r="D998" s="26"/>
      <c r="E998" s="26"/>
      <c r="F998" s="26"/>
      <c r="G998" s="26"/>
      <c r="H998" s="26"/>
      <c r="I998" s="26"/>
      <c r="J998" s="26"/>
      <c r="K998" s="26"/>
      <c r="L998" s="26"/>
      <c r="M998" s="26"/>
      <c r="N998" s="26"/>
      <c r="O998" s="26"/>
      <c r="P998" s="26"/>
      <c r="Q998" s="26"/>
      <c r="R998" s="26"/>
      <c r="S998" s="26"/>
      <c r="T998" s="26"/>
      <c r="U998" s="26"/>
      <c r="V998" s="26"/>
      <c r="W998" s="26"/>
    </row>
    <row r="999" spans="1:23">
      <c r="A999" s="26"/>
      <c r="B999" s="26"/>
      <c r="C999" s="26"/>
      <c r="D999" s="26"/>
      <c r="E999" s="26"/>
      <c r="F999" s="26"/>
      <c r="G999" s="26"/>
      <c r="H999" s="26"/>
      <c r="I999" s="26"/>
      <c r="J999" s="26"/>
      <c r="K999" s="26"/>
      <c r="L999" s="26"/>
      <c r="M999" s="26"/>
      <c r="N999" s="26"/>
      <c r="O999" s="26"/>
      <c r="P999" s="26"/>
      <c r="Q999" s="26"/>
      <c r="R999" s="26"/>
      <c r="S999" s="26"/>
      <c r="T999" s="26"/>
      <c r="U999" s="26"/>
      <c r="V999" s="26"/>
      <c r="W999" s="26"/>
    </row>
    <row r="1000" spans="1:23">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row>
    <row r="1001" spans="1:23">
      <c r="A1001" s="26"/>
      <c r="B1001" s="26"/>
      <c r="C1001" s="26"/>
      <c r="D1001" s="26"/>
      <c r="E1001" s="26"/>
      <c r="F1001" s="26"/>
      <c r="G1001" s="26"/>
      <c r="H1001" s="26"/>
      <c r="I1001" s="26"/>
      <c r="J1001" s="26"/>
      <c r="K1001" s="26"/>
      <c r="L1001" s="26"/>
      <c r="M1001" s="26"/>
      <c r="N1001" s="26"/>
      <c r="O1001" s="26"/>
      <c r="P1001" s="26"/>
      <c r="Q1001" s="26"/>
      <c r="R1001" s="26"/>
      <c r="S1001" s="26"/>
      <c r="T1001" s="26"/>
      <c r="U1001" s="26"/>
      <c r="V1001" s="26"/>
      <c r="W1001" s="26"/>
    </row>
    <row r="1002" spans="1:23">
      <c r="A1002" s="26"/>
      <c r="B1002" s="26"/>
      <c r="C1002" s="26"/>
      <c r="D1002" s="26"/>
      <c r="E1002" s="26"/>
      <c r="F1002" s="26"/>
      <c r="G1002" s="26"/>
      <c r="H1002" s="26"/>
      <c r="I1002" s="26"/>
      <c r="J1002" s="26"/>
      <c r="K1002" s="26"/>
      <c r="L1002" s="26"/>
      <c r="M1002" s="26"/>
      <c r="N1002" s="26"/>
      <c r="O1002" s="26"/>
      <c r="P1002" s="26"/>
      <c r="Q1002" s="26"/>
      <c r="R1002" s="26"/>
      <c r="S1002" s="26"/>
      <c r="T1002" s="26"/>
      <c r="U1002" s="26"/>
      <c r="V1002" s="26"/>
      <c r="W1002" s="26"/>
    </row>
    <row r="1003" spans="1:23">
      <c r="A1003" s="26"/>
      <c r="B1003" s="26"/>
      <c r="C1003" s="26"/>
      <c r="D1003" s="26"/>
      <c r="E1003" s="26"/>
      <c r="F1003" s="26"/>
      <c r="G1003" s="26"/>
      <c r="H1003" s="26"/>
      <c r="I1003" s="26"/>
      <c r="J1003" s="26"/>
      <c r="K1003" s="26"/>
      <c r="L1003" s="26"/>
      <c r="M1003" s="26"/>
      <c r="N1003" s="26"/>
      <c r="O1003" s="26"/>
      <c r="P1003" s="26"/>
      <c r="Q1003" s="26"/>
      <c r="R1003" s="26"/>
      <c r="S1003" s="26"/>
      <c r="T1003" s="26"/>
      <c r="U1003" s="26"/>
      <c r="V1003" s="26"/>
      <c r="W1003" s="26"/>
    </row>
    <row r="1004" spans="1:23">
      <c r="A1004" s="26"/>
      <c r="B1004" s="26"/>
      <c r="C1004" s="26"/>
      <c r="D1004" s="26"/>
      <c r="E1004" s="26"/>
      <c r="F1004" s="26"/>
      <c r="G1004" s="26"/>
      <c r="H1004" s="26"/>
      <c r="I1004" s="26"/>
      <c r="J1004" s="26"/>
      <c r="K1004" s="26"/>
      <c r="L1004" s="26"/>
      <c r="M1004" s="26"/>
      <c r="N1004" s="26"/>
      <c r="O1004" s="26"/>
      <c r="P1004" s="26"/>
      <c r="Q1004" s="26"/>
      <c r="R1004" s="26"/>
      <c r="S1004" s="26"/>
      <c r="T1004" s="26"/>
      <c r="U1004" s="26"/>
      <c r="V1004" s="26"/>
      <c r="W1004" s="26"/>
    </row>
    <row r="1005" spans="1:23">
      <c r="A1005" s="26"/>
      <c r="B1005" s="26"/>
      <c r="C1005" s="26"/>
      <c r="D1005" s="26"/>
      <c r="E1005" s="26"/>
      <c r="F1005" s="26"/>
      <c r="G1005" s="26"/>
      <c r="H1005" s="26"/>
      <c r="I1005" s="26"/>
      <c r="J1005" s="26"/>
      <c r="K1005" s="26"/>
      <c r="L1005" s="26"/>
      <c r="M1005" s="26"/>
      <c r="N1005" s="26"/>
      <c r="O1005" s="26"/>
      <c r="P1005" s="26"/>
      <c r="Q1005" s="26"/>
      <c r="R1005" s="26"/>
      <c r="S1005" s="26"/>
      <c r="T1005" s="26"/>
      <c r="U1005" s="26"/>
      <c r="V1005" s="26"/>
      <c r="W1005" s="26"/>
    </row>
  </sheetData>
  <printOptions headings="1" gridLines="1"/>
  <pageMargins left="0.5" right="0.5" top="0.5" bottom="0.5" header="0" footer="0"/>
  <pageSetup paperSize="5" scale="67" orientation="landscape" r:id="rId1"/>
  <drawing r:id="rId2"/>
  <legacyDrawing r:id="rId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HL34"/>
  <sheetViews>
    <sheetView workbookViewId="0">
      <selection activeCell="D31" sqref="D31"/>
    </sheetView>
  </sheetViews>
  <sheetFormatPr defaultColWidth="8.85546875" defaultRowHeight="15"/>
  <cols>
    <col min="1" max="1" width="9.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78</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6">
        <v>2021</v>
      </c>
      <c r="B3" s="409">
        <v>8</v>
      </c>
      <c r="C3" s="409">
        <v>9</v>
      </c>
      <c r="D3" s="410">
        <f>SUM(B3:C3)</f>
        <v>17</v>
      </c>
      <c r="E3" s="411">
        <f t="shared" ref="E3" si="0">ROUND((O3/B3), 0)</f>
        <v>21</v>
      </c>
      <c r="F3" s="411">
        <f t="shared" ref="F3" si="1">ROUND((O3/D3), 0)</f>
        <v>10</v>
      </c>
      <c r="G3" s="409">
        <v>8</v>
      </c>
      <c r="H3" s="409">
        <v>9</v>
      </c>
      <c r="I3" s="409">
        <v>47</v>
      </c>
      <c r="J3" s="409">
        <v>250</v>
      </c>
      <c r="K3" s="410">
        <f t="shared" ref="K3" si="2">SUM(I3:J3)</f>
        <v>297</v>
      </c>
      <c r="L3" s="409">
        <v>110</v>
      </c>
      <c r="M3" s="411">
        <v>167</v>
      </c>
      <c r="N3" s="409">
        <v>90</v>
      </c>
      <c r="O3" s="409">
        <v>169</v>
      </c>
      <c r="P3" s="413">
        <f t="shared" ref="P3" si="3">M3/O3</f>
        <v>0.98816568047337283</v>
      </c>
      <c r="Q3" s="409">
        <v>107</v>
      </c>
      <c r="R3" s="409">
        <v>0</v>
      </c>
      <c r="S3" s="414">
        <v>1138100</v>
      </c>
      <c r="T3" s="415">
        <f t="shared" ref="T3" si="4">SUM(U3:V3)</f>
        <v>1139100</v>
      </c>
      <c r="U3" s="414">
        <v>1130600</v>
      </c>
      <c r="V3" s="414">
        <v>8500</v>
      </c>
      <c r="W3" s="335">
        <f t="shared" ref="W3" si="5">V3/T3</f>
        <v>7.4620314283206039E-3</v>
      </c>
    </row>
    <row r="4" spans="1:220">
      <c r="A4" s="417">
        <v>2020</v>
      </c>
      <c r="B4" s="409">
        <v>8</v>
      </c>
      <c r="C4" s="409">
        <v>9</v>
      </c>
      <c r="D4" s="410">
        <f>SUM(B4:C4)</f>
        <v>17</v>
      </c>
      <c r="E4" s="411">
        <f>ROUND((O4/B4), 0)</f>
        <v>22</v>
      </c>
      <c r="F4" s="411">
        <f>ROUND((O4/D4), 0)</f>
        <v>11</v>
      </c>
      <c r="G4" s="409">
        <v>8</v>
      </c>
      <c r="H4" s="409">
        <v>9</v>
      </c>
      <c r="I4" s="409">
        <v>54</v>
      </c>
      <c r="J4" s="409">
        <v>255</v>
      </c>
      <c r="K4" s="410">
        <f t="shared" ref="K4" si="6">SUM(I4:J4)</f>
        <v>309</v>
      </c>
      <c r="L4" s="409">
        <v>124</v>
      </c>
      <c r="M4" s="411">
        <f>(I4+L4)</f>
        <v>178</v>
      </c>
      <c r="N4" s="409">
        <v>97</v>
      </c>
      <c r="O4" s="409">
        <v>179</v>
      </c>
      <c r="P4" s="413">
        <f t="shared" ref="P4" si="7">M4/O4</f>
        <v>0.994413407821229</v>
      </c>
      <c r="Q4" s="409">
        <v>127</v>
      </c>
      <c r="R4" s="409">
        <v>0</v>
      </c>
      <c r="S4" s="414">
        <v>1146200</v>
      </c>
      <c r="T4" s="415">
        <f>SUM(U4:V4)</f>
        <v>1126911</v>
      </c>
      <c r="U4" s="414">
        <v>1119411</v>
      </c>
      <c r="V4" s="414">
        <v>7500</v>
      </c>
      <c r="W4" s="335">
        <f t="shared" ref="W4" si="8">V4/T4</f>
        <v>6.6553614260576035E-3</v>
      </c>
    </row>
    <row r="5" spans="1:220">
      <c r="A5" s="417">
        <v>2019</v>
      </c>
      <c r="B5" s="409">
        <v>8</v>
      </c>
      <c r="C5" s="409">
        <v>8</v>
      </c>
      <c r="D5" s="410">
        <f>SUM(B5:C5)</f>
        <v>16</v>
      </c>
      <c r="E5" s="411">
        <f>ROUND((O5/B5), 0)</f>
        <v>25</v>
      </c>
      <c r="F5" s="411">
        <f>ROUND((O5/D5), 0)</f>
        <v>13</v>
      </c>
      <c r="G5" s="409">
        <v>8</v>
      </c>
      <c r="H5" s="409">
        <v>8</v>
      </c>
      <c r="I5" s="409">
        <v>62</v>
      </c>
      <c r="J5" s="409">
        <v>255</v>
      </c>
      <c r="K5" s="410">
        <f t="shared" ref="K5" si="9">SUM(I5:J5)</f>
        <v>317</v>
      </c>
      <c r="L5" s="409">
        <v>141</v>
      </c>
      <c r="M5" s="411">
        <f>(I5+L5)</f>
        <v>203</v>
      </c>
      <c r="N5" s="409">
        <v>117</v>
      </c>
      <c r="O5" s="409">
        <v>203</v>
      </c>
      <c r="P5" s="413">
        <f t="shared" ref="P5" si="10">M5/O5</f>
        <v>1</v>
      </c>
      <c r="Q5" s="409">
        <v>117</v>
      </c>
      <c r="R5" s="409">
        <v>0</v>
      </c>
      <c r="S5" s="414">
        <v>1298600</v>
      </c>
      <c r="T5" s="415">
        <f>SUM(U5:V5)</f>
        <v>1298000</v>
      </c>
      <c r="U5" s="414">
        <v>1290000</v>
      </c>
      <c r="V5" s="414">
        <v>8000</v>
      </c>
      <c r="W5" s="335">
        <f t="shared" ref="W5" si="11">V5/T5</f>
        <v>6.1633281972265025E-3</v>
      </c>
    </row>
    <row r="6" spans="1:220" s="17" customFormat="1">
      <c r="A6" s="33">
        <v>2018</v>
      </c>
      <c r="B6" s="20">
        <v>9</v>
      </c>
      <c r="C6" s="20">
        <v>4</v>
      </c>
      <c r="D6" s="29">
        <f>SUM(B6:C6)</f>
        <v>13</v>
      </c>
      <c r="E6" s="172">
        <f>ROUND((O6/B6), 0)</f>
        <v>22</v>
      </c>
      <c r="F6" s="172">
        <f>ROUND((O6/D6), 0)</f>
        <v>15</v>
      </c>
      <c r="G6" s="20">
        <v>9</v>
      </c>
      <c r="H6" s="20">
        <v>5</v>
      </c>
      <c r="I6" s="20">
        <v>57</v>
      </c>
      <c r="J6" s="20">
        <v>240</v>
      </c>
      <c r="K6" s="29">
        <f t="shared" ref="K6" si="12">SUM(I6:J6)</f>
        <v>297</v>
      </c>
      <c r="L6" s="20">
        <v>138</v>
      </c>
      <c r="M6" s="172">
        <f>(I6+L6)</f>
        <v>195</v>
      </c>
      <c r="N6" s="20">
        <v>115</v>
      </c>
      <c r="O6" s="20">
        <v>195</v>
      </c>
      <c r="P6" s="183">
        <f>M6/O6</f>
        <v>1</v>
      </c>
      <c r="Q6" s="20">
        <v>89</v>
      </c>
      <c r="R6" s="20">
        <v>0</v>
      </c>
      <c r="S6" s="24">
        <v>1397845</v>
      </c>
      <c r="T6" s="30">
        <f>SUM(U6:V6)</f>
        <v>1196763</v>
      </c>
      <c r="U6" s="24">
        <v>1185263</v>
      </c>
      <c r="V6" s="24">
        <v>11500</v>
      </c>
      <c r="W6" s="185">
        <f>V6/T6</f>
        <v>9.6092542967989476E-3</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9</v>
      </c>
      <c r="C7" s="20">
        <v>5</v>
      </c>
      <c r="D7" s="34">
        <f>SUM(B7:C7)</f>
        <v>14</v>
      </c>
      <c r="E7" s="34">
        <f>ROUND((O7/B7), 0)</f>
        <v>22</v>
      </c>
      <c r="F7" s="34">
        <f>ROUND((O7/D7), 0)</f>
        <v>14</v>
      </c>
      <c r="G7" s="20">
        <v>9</v>
      </c>
      <c r="H7" s="20">
        <v>5</v>
      </c>
      <c r="I7" s="20">
        <v>73</v>
      </c>
      <c r="J7" s="20">
        <v>212</v>
      </c>
      <c r="K7" s="34">
        <f>SUM(I7:J7)</f>
        <v>285</v>
      </c>
      <c r="L7" s="20">
        <v>121</v>
      </c>
      <c r="M7" s="36">
        <f>(I7+L7)</f>
        <v>194</v>
      </c>
      <c r="N7" s="344">
        <v>109</v>
      </c>
      <c r="O7" s="344">
        <v>194</v>
      </c>
      <c r="P7" s="183">
        <f t="shared" ref="P7:P22" si="13">M7/O7</f>
        <v>1</v>
      </c>
      <c r="Q7" s="20">
        <v>84</v>
      </c>
      <c r="R7" s="20">
        <v>3</v>
      </c>
      <c r="S7" s="300">
        <v>1774312</v>
      </c>
      <c r="T7" s="35">
        <f>SUM(U7:V7)</f>
        <v>1363207</v>
      </c>
      <c r="U7" s="341">
        <v>1353707</v>
      </c>
      <c r="V7" s="24">
        <v>9500</v>
      </c>
      <c r="W7" s="185">
        <f t="shared" ref="W7:W22" si="14">V7/T7</f>
        <v>6.9688609286777427E-3</v>
      </c>
    </row>
    <row r="8" spans="1:220" s="93" customFormat="1">
      <c r="A8" s="143">
        <v>2016</v>
      </c>
      <c r="B8" s="63">
        <v>11</v>
      </c>
      <c r="C8" s="63">
        <v>5</v>
      </c>
      <c r="D8" s="81">
        <f>B8+C8</f>
        <v>16</v>
      </c>
      <c r="E8" s="82">
        <f>ROUND((O8/B8), 0)</f>
        <v>15</v>
      </c>
      <c r="F8" s="82">
        <f>ROUND((O8/D8), 0)</f>
        <v>10</v>
      </c>
      <c r="G8" s="63">
        <v>11</v>
      </c>
      <c r="H8" s="63">
        <v>5</v>
      </c>
      <c r="I8" s="63">
        <v>73</v>
      </c>
      <c r="J8" s="63">
        <v>168</v>
      </c>
      <c r="K8" s="81">
        <f>SUM(I8:J8)</f>
        <v>241</v>
      </c>
      <c r="L8" s="63">
        <v>94</v>
      </c>
      <c r="M8" s="82">
        <f>(I8+L8)</f>
        <v>167</v>
      </c>
      <c r="N8" s="63">
        <v>150</v>
      </c>
      <c r="O8" s="63">
        <v>167</v>
      </c>
      <c r="P8" s="183">
        <f t="shared" si="13"/>
        <v>1</v>
      </c>
      <c r="Q8" s="63">
        <v>72</v>
      </c>
      <c r="R8" s="63">
        <v>0</v>
      </c>
      <c r="S8" s="64">
        <v>2131000</v>
      </c>
      <c r="T8" s="85">
        <f>SUM(U8:V8)</f>
        <v>1633500</v>
      </c>
      <c r="U8" s="64">
        <v>1624000</v>
      </c>
      <c r="V8" s="64">
        <v>9500</v>
      </c>
      <c r="W8" s="185">
        <f t="shared" si="14"/>
        <v>5.8157330884603614E-3</v>
      </c>
    </row>
    <row r="9" spans="1:220" s="65" customFormat="1">
      <c r="A9" s="95">
        <v>2015</v>
      </c>
      <c r="B9" s="91">
        <v>11</v>
      </c>
      <c r="C9" s="91">
        <v>4</v>
      </c>
      <c r="D9" s="81">
        <v>15</v>
      </c>
      <c r="E9" s="87">
        <v>11.4</v>
      </c>
      <c r="F9" s="87">
        <v>15</v>
      </c>
      <c r="G9" s="191"/>
      <c r="H9" s="191"/>
      <c r="I9" s="63">
        <v>50</v>
      </c>
      <c r="J9" s="63">
        <v>145</v>
      </c>
      <c r="K9" s="81">
        <v>195</v>
      </c>
      <c r="L9" s="63">
        <v>66.7</v>
      </c>
      <c r="M9" s="87">
        <v>124.4</v>
      </c>
      <c r="N9" s="63">
        <v>98</v>
      </c>
      <c r="O9" s="63">
        <v>125.7</v>
      </c>
      <c r="P9" s="183">
        <f t="shared" si="13"/>
        <v>0.98965791567223549</v>
      </c>
      <c r="Q9" s="91">
        <v>108</v>
      </c>
      <c r="R9" s="91">
        <v>1</v>
      </c>
      <c r="S9" s="102">
        <v>2146700</v>
      </c>
      <c r="T9" s="103">
        <v>1489200</v>
      </c>
      <c r="U9" s="102">
        <v>1480000</v>
      </c>
      <c r="V9" s="102">
        <v>9200</v>
      </c>
      <c r="W9" s="185">
        <f t="shared" si="14"/>
        <v>6.1778135911899007E-3</v>
      </c>
    </row>
    <row r="10" spans="1:220" s="79" customFormat="1">
      <c r="A10" s="90">
        <v>2014</v>
      </c>
      <c r="B10" s="353">
        <v>10</v>
      </c>
      <c r="C10" s="353">
        <v>4</v>
      </c>
      <c r="D10" s="108">
        <f>B10+C10</f>
        <v>14</v>
      </c>
      <c r="E10" s="109">
        <f t="shared" ref="E10:E22" si="15">ROUND((O10/B10), 0)</f>
        <v>15</v>
      </c>
      <c r="F10" s="109">
        <f t="shared" ref="F10:F22" si="16">ROUND((O10/D10), 0)</f>
        <v>10</v>
      </c>
      <c r="G10" s="111"/>
      <c r="H10" s="111"/>
      <c r="I10" s="352">
        <v>45</v>
      </c>
      <c r="J10" s="353">
        <v>207</v>
      </c>
      <c r="K10" s="108">
        <f t="shared" ref="K10:K16" si="17">SUM(I10:J10)</f>
        <v>252</v>
      </c>
      <c r="L10" s="352">
        <v>97</v>
      </c>
      <c r="M10" s="109">
        <f t="shared" ref="M10:M22" si="18">(I10+L10)</f>
        <v>142</v>
      </c>
      <c r="N10" s="353">
        <v>102</v>
      </c>
      <c r="O10" s="353">
        <v>145</v>
      </c>
      <c r="P10" s="183">
        <f t="shared" si="13"/>
        <v>0.97931034482758617</v>
      </c>
      <c r="Q10" s="353">
        <v>169</v>
      </c>
      <c r="R10" s="353">
        <v>1</v>
      </c>
      <c r="S10" s="112">
        <v>2165293</v>
      </c>
      <c r="T10" s="110">
        <f t="shared" ref="T10:T22" si="19">SUM(U10:V10)</f>
        <v>1494793</v>
      </c>
      <c r="U10" s="112">
        <v>1480000</v>
      </c>
      <c r="V10" s="112">
        <v>14793</v>
      </c>
      <c r="W10" s="185">
        <f t="shared" si="14"/>
        <v>9.8963535419285473E-3</v>
      </c>
    </row>
    <row r="11" spans="1:220" s="71" customFormat="1">
      <c r="A11" s="90">
        <v>2013</v>
      </c>
      <c r="B11" s="353">
        <v>11</v>
      </c>
      <c r="C11" s="353">
        <v>5</v>
      </c>
      <c r="D11" s="108">
        <f>B11+C11</f>
        <v>16</v>
      </c>
      <c r="E11" s="109">
        <f t="shared" si="15"/>
        <v>22</v>
      </c>
      <c r="F11" s="109">
        <f t="shared" si="16"/>
        <v>15</v>
      </c>
      <c r="G11" s="113"/>
      <c r="H11" s="113"/>
      <c r="I11" s="352">
        <v>66</v>
      </c>
      <c r="J11" s="353">
        <v>260</v>
      </c>
      <c r="K11" s="108">
        <f t="shared" si="17"/>
        <v>326</v>
      </c>
      <c r="L11" s="352">
        <v>175</v>
      </c>
      <c r="M11" s="109">
        <f t="shared" si="18"/>
        <v>241</v>
      </c>
      <c r="N11" s="353">
        <v>113</v>
      </c>
      <c r="O11" s="353">
        <v>243</v>
      </c>
      <c r="P11" s="183">
        <f t="shared" si="13"/>
        <v>0.99176954732510292</v>
      </c>
      <c r="Q11" s="353">
        <v>156</v>
      </c>
      <c r="R11" s="353">
        <v>0</v>
      </c>
      <c r="S11" s="112">
        <v>2075770</v>
      </c>
      <c r="T11" s="110">
        <f t="shared" si="19"/>
        <v>1448400</v>
      </c>
      <c r="U11" s="112">
        <v>1438500</v>
      </c>
      <c r="V11" s="112">
        <v>9900</v>
      </c>
      <c r="W11" s="185">
        <f t="shared" si="14"/>
        <v>6.8351284175642091E-3</v>
      </c>
    </row>
    <row r="12" spans="1:220" s="71" customFormat="1">
      <c r="A12" s="90">
        <v>2012</v>
      </c>
      <c r="B12" s="353">
        <v>12</v>
      </c>
      <c r="C12" s="353">
        <v>7</v>
      </c>
      <c r="D12" s="108">
        <f>B12+C12</f>
        <v>19</v>
      </c>
      <c r="E12" s="109">
        <f t="shared" si="15"/>
        <v>19</v>
      </c>
      <c r="F12" s="109">
        <f t="shared" si="16"/>
        <v>12</v>
      </c>
      <c r="G12" s="113"/>
      <c r="H12" s="113"/>
      <c r="I12" s="352">
        <v>27</v>
      </c>
      <c r="J12" s="353">
        <v>398</v>
      </c>
      <c r="K12" s="108">
        <f t="shared" si="17"/>
        <v>425</v>
      </c>
      <c r="L12" s="352">
        <v>196</v>
      </c>
      <c r="M12" s="109">
        <f t="shared" si="18"/>
        <v>223</v>
      </c>
      <c r="N12" s="353">
        <v>72</v>
      </c>
      <c r="O12" s="353">
        <v>224</v>
      </c>
      <c r="P12" s="183">
        <f t="shared" si="13"/>
        <v>0.9955357142857143</v>
      </c>
      <c r="Q12" s="353">
        <v>181</v>
      </c>
      <c r="R12" s="353">
        <v>0</v>
      </c>
      <c r="S12" s="112">
        <v>2015761</v>
      </c>
      <c r="T12" s="110">
        <f t="shared" si="19"/>
        <v>1406518</v>
      </c>
      <c r="U12" s="112">
        <v>1396668</v>
      </c>
      <c r="V12" s="112">
        <v>9850</v>
      </c>
      <c r="W12" s="185">
        <f t="shared" si="14"/>
        <v>7.0031098073398282E-3</v>
      </c>
    </row>
    <row r="13" spans="1:220" s="71" customFormat="1">
      <c r="A13" s="90">
        <v>2011</v>
      </c>
      <c r="B13" s="353">
        <v>12</v>
      </c>
      <c r="C13" s="353">
        <v>5.25</v>
      </c>
      <c r="D13" s="108">
        <f t="shared" ref="D13:D22" si="20">SUM(B13:C13)</f>
        <v>17.25</v>
      </c>
      <c r="E13" s="109">
        <f t="shared" si="15"/>
        <v>18</v>
      </c>
      <c r="F13" s="109">
        <f t="shared" si="16"/>
        <v>12</v>
      </c>
      <c r="G13" s="113"/>
      <c r="H13" s="113"/>
      <c r="I13" s="352">
        <v>36</v>
      </c>
      <c r="J13" s="353">
        <v>438</v>
      </c>
      <c r="K13" s="108">
        <f t="shared" si="17"/>
        <v>474</v>
      </c>
      <c r="L13" s="352">
        <v>176</v>
      </c>
      <c r="M13" s="109">
        <f t="shared" si="18"/>
        <v>212</v>
      </c>
      <c r="N13" s="353">
        <v>43</v>
      </c>
      <c r="O13" s="353">
        <v>213</v>
      </c>
      <c r="P13" s="183">
        <f t="shared" si="13"/>
        <v>0.99530516431924887</v>
      </c>
      <c r="Q13" s="353">
        <v>185</v>
      </c>
      <c r="R13" s="353">
        <v>0</v>
      </c>
      <c r="S13" s="112">
        <v>2078187</v>
      </c>
      <c r="T13" s="110">
        <f t="shared" si="19"/>
        <v>1973284</v>
      </c>
      <c r="U13" s="112">
        <v>1969484</v>
      </c>
      <c r="V13" s="112">
        <v>3800</v>
      </c>
      <c r="W13" s="185">
        <f t="shared" si="14"/>
        <v>1.9257238187711449E-3</v>
      </c>
    </row>
    <row r="14" spans="1:220" s="71" customFormat="1">
      <c r="A14" s="90">
        <v>2010</v>
      </c>
      <c r="B14" s="353">
        <v>12</v>
      </c>
      <c r="C14" s="353">
        <v>6.3</v>
      </c>
      <c r="D14" s="108">
        <f t="shared" si="20"/>
        <v>18.3</v>
      </c>
      <c r="E14" s="109">
        <f t="shared" si="15"/>
        <v>25</v>
      </c>
      <c r="F14" s="109">
        <f t="shared" si="16"/>
        <v>17</v>
      </c>
      <c r="G14" s="113"/>
      <c r="H14" s="113"/>
      <c r="I14" s="352">
        <v>62</v>
      </c>
      <c r="J14" s="353">
        <v>481</v>
      </c>
      <c r="K14" s="108">
        <f t="shared" si="17"/>
        <v>543</v>
      </c>
      <c r="L14" s="352">
        <v>240.5</v>
      </c>
      <c r="M14" s="109">
        <f t="shared" si="18"/>
        <v>302.5</v>
      </c>
      <c r="N14" s="353">
        <v>36</v>
      </c>
      <c r="O14" s="353">
        <v>302.5</v>
      </c>
      <c r="P14" s="183">
        <f t="shared" si="13"/>
        <v>1</v>
      </c>
      <c r="Q14" s="353">
        <v>190</v>
      </c>
      <c r="R14" s="353">
        <v>0</v>
      </c>
      <c r="S14" s="112">
        <v>1582033</v>
      </c>
      <c r="T14" s="110">
        <f t="shared" si="19"/>
        <v>1512020</v>
      </c>
      <c r="U14" s="112">
        <v>1512020</v>
      </c>
      <c r="V14" s="112">
        <v>0</v>
      </c>
      <c r="W14" s="185">
        <f t="shared" si="14"/>
        <v>0</v>
      </c>
    </row>
    <row r="15" spans="1:220" s="71" customFormat="1">
      <c r="A15" s="90">
        <v>2009</v>
      </c>
      <c r="B15" s="353">
        <v>13</v>
      </c>
      <c r="C15" s="353">
        <v>7.3</v>
      </c>
      <c r="D15" s="108">
        <f t="shared" si="20"/>
        <v>20.3</v>
      </c>
      <c r="E15" s="109">
        <f t="shared" si="15"/>
        <v>22</v>
      </c>
      <c r="F15" s="109">
        <f t="shared" si="16"/>
        <v>14</v>
      </c>
      <c r="G15" s="113"/>
      <c r="H15" s="113"/>
      <c r="I15" s="353">
        <v>53</v>
      </c>
      <c r="J15" s="353">
        <v>482</v>
      </c>
      <c r="K15" s="108">
        <f t="shared" si="17"/>
        <v>535</v>
      </c>
      <c r="L15" s="353">
        <v>229.5</v>
      </c>
      <c r="M15" s="109">
        <f t="shared" si="18"/>
        <v>282.5</v>
      </c>
      <c r="N15" s="353">
        <v>128</v>
      </c>
      <c r="O15" s="353">
        <v>283.5</v>
      </c>
      <c r="P15" s="183">
        <f t="shared" si="13"/>
        <v>0.99647266313932981</v>
      </c>
      <c r="Q15" s="353">
        <v>161</v>
      </c>
      <c r="R15" s="353">
        <v>0</v>
      </c>
      <c r="S15" s="112">
        <v>1740168</v>
      </c>
      <c r="T15" s="110">
        <f t="shared" si="19"/>
        <v>1747309</v>
      </c>
      <c r="U15" s="112">
        <v>1734103</v>
      </c>
      <c r="V15" s="112">
        <v>13206</v>
      </c>
      <c r="W15" s="185">
        <f t="shared" si="14"/>
        <v>7.5579076167981733E-3</v>
      </c>
    </row>
    <row r="16" spans="1:220" s="71" customFormat="1">
      <c r="A16" s="90">
        <v>2008</v>
      </c>
      <c r="B16" s="353">
        <v>13</v>
      </c>
      <c r="C16" s="353">
        <v>5</v>
      </c>
      <c r="D16" s="108">
        <f t="shared" si="20"/>
        <v>18</v>
      </c>
      <c r="E16" s="109">
        <f t="shared" si="15"/>
        <v>19</v>
      </c>
      <c r="F16" s="109">
        <f t="shared" si="16"/>
        <v>14</v>
      </c>
      <c r="G16" s="113"/>
      <c r="H16" s="113"/>
      <c r="I16" s="353">
        <v>47</v>
      </c>
      <c r="J16" s="353">
        <v>453</v>
      </c>
      <c r="K16" s="108">
        <f t="shared" si="17"/>
        <v>500</v>
      </c>
      <c r="L16" s="353">
        <v>195.5</v>
      </c>
      <c r="M16" s="109">
        <f t="shared" si="18"/>
        <v>242.5</v>
      </c>
      <c r="N16" s="353">
        <v>118</v>
      </c>
      <c r="O16" s="353">
        <v>243</v>
      </c>
      <c r="P16" s="183">
        <f t="shared" si="13"/>
        <v>0.99794238683127567</v>
      </c>
      <c r="Q16" s="353">
        <v>166</v>
      </c>
      <c r="R16" s="353">
        <v>0</v>
      </c>
      <c r="S16" s="112">
        <v>1534561</v>
      </c>
      <c r="T16" s="110">
        <f t="shared" si="19"/>
        <v>1542228</v>
      </c>
      <c r="U16" s="112">
        <v>1534561</v>
      </c>
      <c r="V16" s="112">
        <v>7667</v>
      </c>
      <c r="W16" s="185">
        <f t="shared" si="14"/>
        <v>4.9713790697614099E-3</v>
      </c>
    </row>
    <row r="17" spans="1:24" s="71" customFormat="1">
      <c r="A17" s="90">
        <v>2007</v>
      </c>
      <c r="B17" s="353">
        <v>13</v>
      </c>
      <c r="C17" s="353">
        <v>4.3</v>
      </c>
      <c r="D17" s="109">
        <f t="shared" si="20"/>
        <v>17.3</v>
      </c>
      <c r="E17" s="109">
        <f t="shared" si="15"/>
        <v>18</v>
      </c>
      <c r="F17" s="109">
        <f t="shared" si="16"/>
        <v>13</v>
      </c>
      <c r="G17" s="113"/>
      <c r="H17" s="113"/>
      <c r="I17" s="353">
        <v>29</v>
      </c>
      <c r="J17" s="353">
        <v>455</v>
      </c>
      <c r="K17" s="194">
        <v>484</v>
      </c>
      <c r="L17" s="353">
        <v>199.5</v>
      </c>
      <c r="M17" s="109">
        <f t="shared" si="18"/>
        <v>228.5</v>
      </c>
      <c r="N17" s="353">
        <v>162</v>
      </c>
      <c r="O17" s="353">
        <v>232</v>
      </c>
      <c r="P17" s="183">
        <f t="shared" si="13"/>
        <v>0.98491379310344829</v>
      </c>
      <c r="Q17" s="353">
        <v>156</v>
      </c>
      <c r="R17" s="353">
        <v>0</v>
      </c>
      <c r="S17" s="192">
        <v>1533251.9</v>
      </c>
      <c r="T17" s="110">
        <f t="shared" si="19"/>
        <v>1533252</v>
      </c>
      <c r="U17" s="192">
        <v>1526912</v>
      </c>
      <c r="V17" s="208">
        <v>6340</v>
      </c>
      <c r="W17" s="185">
        <f t="shared" si="14"/>
        <v>4.1350019435813555E-3</v>
      </c>
      <c r="X17" s="72"/>
    </row>
    <row r="18" spans="1:24" s="71" customFormat="1">
      <c r="A18" s="90">
        <v>2006</v>
      </c>
      <c r="B18" s="353">
        <v>11</v>
      </c>
      <c r="C18" s="353">
        <v>5</v>
      </c>
      <c r="D18" s="109">
        <f t="shared" si="20"/>
        <v>16</v>
      </c>
      <c r="E18" s="109">
        <f t="shared" si="15"/>
        <v>21</v>
      </c>
      <c r="F18" s="109">
        <f t="shared" si="16"/>
        <v>14</v>
      </c>
      <c r="G18" s="113"/>
      <c r="H18" s="113"/>
      <c r="I18" s="353">
        <v>31</v>
      </c>
      <c r="J18" s="353">
        <v>445</v>
      </c>
      <c r="K18" s="194">
        <f>SUM(I18:J18)</f>
        <v>476</v>
      </c>
      <c r="L18" s="353">
        <v>194</v>
      </c>
      <c r="M18" s="109">
        <f t="shared" si="18"/>
        <v>225</v>
      </c>
      <c r="N18" s="353">
        <v>91</v>
      </c>
      <c r="O18" s="353">
        <v>228</v>
      </c>
      <c r="P18" s="183">
        <f t="shared" si="13"/>
        <v>0.98684210526315785</v>
      </c>
      <c r="Q18" s="353">
        <v>147</v>
      </c>
      <c r="R18" s="353">
        <v>0</v>
      </c>
      <c r="S18" s="279">
        <v>1271196.99</v>
      </c>
      <c r="T18" s="110">
        <f t="shared" si="19"/>
        <v>1271196.99</v>
      </c>
      <c r="U18" s="192">
        <v>1264946.99</v>
      </c>
      <c r="V18" s="192">
        <v>6250</v>
      </c>
      <c r="W18" s="185">
        <f t="shared" si="14"/>
        <v>4.9166258645719418E-3</v>
      </c>
      <c r="X18" s="72"/>
    </row>
    <row r="19" spans="1:24" s="71" customFormat="1">
      <c r="A19" s="90">
        <v>2005</v>
      </c>
      <c r="B19" s="353">
        <v>11</v>
      </c>
      <c r="C19" s="353">
        <v>5</v>
      </c>
      <c r="D19" s="109">
        <f t="shared" si="20"/>
        <v>16</v>
      </c>
      <c r="E19" s="109">
        <f t="shared" si="15"/>
        <v>22</v>
      </c>
      <c r="F19" s="109">
        <f t="shared" si="16"/>
        <v>15</v>
      </c>
      <c r="G19" s="113"/>
      <c r="H19" s="113"/>
      <c r="I19" s="353">
        <v>26</v>
      </c>
      <c r="J19" s="353">
        <v>496</v>
      </c>
      <c r="K19" s="194">
        <f>SUM(I19:J19)</f>
        <v>522</v>
      </c>
      <c r="L19" s="353">
        <v>208</v>
      </c>
      <c r="M19" s="109">
        <f t="shared" si="18"/>
        <v>234</v>
      </c>
      <c r="N19" s="353">
        <v>106</v>
      </c>
      <c r="O19" s="353">
        <v>238</v>
      </c>
      <c r="P19" s="183">
        <f t="shared" si="13"/>
        <v>0.98319327731092432</v>
      </c>
      <c r="Q19" s="353">
        <v>142</v>
      </c>
      <c r="R19" s="353">
        <v>0</v>
      </c>
      <c r="S19" s="279">
        <v>1277492.31</v>
      </c>
      <c r="T19" s="110">
        <f t="shared" si="19"/>
        <v>1277492.19</v>
      </c>
      <c r="U19" s="192">
        <v>1271183.19</v>
      </c>
      <c r="V19" s="192">
        <v>6309</v>
      </c>
      <c r="W19" s="185">
        <f t="shared" si="14"/>
        <v>4.9385820511356707E-3</v>
      </c>
      <c r="X19" s="72"/>
    </row>
    <row r="20" spans="1:24" s="71" customFormat="1">
      <c r="A20" s="90">
        <v>2004</v>
      </c>
      <c r="B20" s="195">
        <v>13</v>
      </c>
      <c r="C20" s="195">
        <v>3</v>
      </c>
      <c r="D20" s="109">
        <f t="shared" si="20"/>
        <v>16</v>
      </c>
      <c r="E20" s="109">
        <f t="shared" si="15"/>
        <v>18</v>
      </c>
      <c r="F20" s="109">
        <f t="shared" si="16"/>
        <v>15</v>
      </c>
      <c r="G20" s="113"/>
      <c r="H20" s="113"/>
      <c r="I20" s="195">
        <v>38</v>
      </c>
      <c r="J20" s="195">
        <v>455</v>
      </c>
      <c r="K20" s="194">
        <f>SUM(I20:J20)</f>
        <v>493</v>
      </c>
      <c r="L20" s="195">
        <v>195.5</v>
      </c>
      <c r="M20" s="109">
        <f t="shared" si="18"/>
        <v>233.5</v>
      </c>
      <c r="N20" s="195">
        <v>89</v>
      </c>
      <c r="O20" s="195">
        <v>235</v>
      </c>
      <c r="P20" s="183">
        <f t="shared" si="13"/>
        <v>0.99361702127659579</v>
      </c>
      <c r="Q20" s="195">
        <v>166</v>
      </c>
      <c r="R20" s="353">
        <v>0</v>
      </c>
      <c r="S20" s="192">
        <v>1249898.9099999999</v>
      </c>
      <c r="T20" s="110">
        <f t="shared" si="19"/>
        <v>1249898.9099999999</v>
      </c>
      <c r="U20" s="192">
        <v>1242998.9099999999</v>
      </c>
      <c r="V20" s="192">
        <v>6900</v>
      </c>
      <c r="W20" s="185">
        <f t="shared" si="14"/>
        <v>5.5204464495452682E-3</v>
      </c>
    </row>
    <row r="21" spans="1:24" s="71" customFormat="1">
      <c r="A21" s="90">
        <v>2003</v>
      </c>
      <c r="B21" s="195">
        <v>13</v>
      </c>
      <c r="C21" s="195">
        <v>2</v>
      </c>
      <c r="D21" s="194">
        <f t="shared" si="20"/>
        <v>15</v>
      </c>
      <c r="E21" s="109">
        <f t="shared" si="15"/>
        <v>20</v>
      </c>
      <c r="F21" s="109">
        <f t="shared" si="16"/>
        <v>17</v>
      </c>
      <c r="G21" s="113"/>
      <c r="H21" s="113"/>
      <c r="I21" s="195">
        <v>44</v>
      </c>
      <c r="J21" s="195">
        <v>458</v>
      </c>
      <c r="K21" s="194">
        <f>SUM(I21:J21)</f>
        <v>502</v>
      </c>
      <c r="L21" s="195">
        <v>214</v>
      </c>
      <c r="M21" s="109">
        <f t="shared" si="18"/>
        <v>258</v>
      </c>
      <c r="N21" s="195">
        <v>100</v>
      </c>
      <c r="O21" s="195">
        <v>258</v>
      </c>
      <c r="P21" s="183">
        <f t="shared" si="13"/>
        <v>1</v>
      </c>
      <c r="Q21" s="195">
        <v>47</v>
      </c>
      <c r="R21" s="353">
        <v>143</v>
      </c>
      <c r="S21" s="192">
        <v>1297470</v>
      </c>
      <c r="T21" s="110">
        <f t="shared" si="19"/>
        <v>1299220</v>
      </c>
      <c r="U21" s="192">
        <v>1294970</v>
      </c>
      <c r="V21" s="192">
        <v>4250</v>
      </c>
      <c r="W21" s="185">
        <f t="shared" si="14"/>
        <v>3.2711934853219622E-3</v>
      </c>
    </row>
    <row r="22" spans="1:24" s="71" customFormat="1">
      <c r="A22" s="90">
        <v>2002</v>
      </c>
      <c r="B22" s="195">
        <v>12</v>
      </c>
      <c r="C22" s="195">
        <v>2</v>
      </c>
      <c r="D22" s="194">
        <f t="shared" si="20"/>
        <v>14</v>
      </c>
      <c r="E22" s="109">
        <f t="shared" si="15"/>
        <v>20</v>
      </c>
      <c r="F22" s="109">
        <f t="shared" si="16"/>
        <v>17</v>
      </c>
      <c r="G22" s="113"/>
      <c r="H22" s="113"/>
      <c r="I22" s="195">
        <v>41</v>
      </c>
      <c r="J22" s="195">
        <v>435</v>
      </c>
      <c r="K22" s="194">
        <f>SUM(I22:J22)</f>
        <v>476</v>
      </c>
      <c r="L22" s="195">
        <f>ROUND(199.5, 0)</f>
        <v>200</v>
      </c>
      <c r="M22" s="109">
        <f t="shared" si="18"/>
        <v>241</v>
      </c>
      <c r="N22" s="195">
        <v>68</v>
      </c>
      <c r="O22" s="195">
        <f>ROUND(242.5, 0)</f>
        <v>243</v>
      </c>
      <c r="P22" s="183">
        <f t="shared" si="13"/>
        <v>0.99176954732510292</v>
      </c>
      <c r="Q22" s="195">
        <v>124</v>
      </c>
      <c r="R22" s="353">
        <v>0</v>
      </c>
      <c r="S22" s="192">
        <v>1118426</v>
      </c>
      <c r="T22" s="110">
        <f t="shared" si="19"/>
        <v>1121576</v>
      </c>
      <c r="U22" s="192">
        <v>1115926</v>
      </c>
      <c r="V22" s="192">
        <v>5650</v>
      </c>
      <c r="W22" s="185">
        <f t="shared" si="14"/>
        <v>5.0375542985941213E-3</v>
      </c>
    </row>
    <row r="23" spans="1:24" s="134" customFormat="1">
      <c r="A23" s="653" t="s">
        <v>101</v>
      </c>
      <c r="B23" s="667"/>
      <c r="C23" s="667"/>
      <c r="D23" s="667"/>
      <c r="E23" s="667"/>
      <c r="F23" s="667"/>
      <c r="G23" s="667"/>
      <c r="H23" s="667"/>
      <c r="I23" s="667"/>
      <c r="J23" s="667"/>
      <c r="K23" s="667"/>
      <c r="L23" s="667"/>
      <c r="M23" s="667"/>
      <c r="N23" s="667"/>
      <c r="O23" s="667"/>
      <c r="P23" s="667"/>
      <c r="Q23" s="667"/>
      <c r="R23" s="667"/>
      <c r="S23" s="667"/>
      <c r="T23" s="667"/>
      <c r="U23" s="667"/>
      <c r="V23" s="667"/>
      <c r="W23" s="667"/>
    </row>
    <row r="24" spans="1:24" s="135" customFormat="1" ht="16.149999999999999" customHeight="1">
      <c r="A24" s="675" t="s">
        <v>116</v>
      </c>
      <c r="B24" s="675"/>
      <c r="C24" s="675"/>
      <c r="D24" s="675"/>
      <c r="E24" s="675"/>
      <c r="F24" s="675"/>
      <c r="G24" s="675"/>
      <c r="H24" s="675"/>
      <c r="I24" s="654"/>
      <c r="J24" s="654"/>
      <c r="K24" s="654"/>
      <c r="L24" s="654"/>
      <c r="M24" s="654"/>
      <c r="N24" s="654"/>
      <c r="O24" s="654"/>
      <c r="P24" s="654"/>
      <c r="Q24" s="654"/>
      <c r="R24" s="654"/>
      <c r="S24" s="654"/>
      <c r="T24" s="654"/>
      <c r="U24" s="654"/>
      <c r="V24" s="654"/>
      <c r="W24" s="667"/>
    </row>
    <row r="25" spans="1:24" s="71" customFormat="1" ht="28.15" customHeight="1">
      <c r="A25" s="654" t="s">
        <v>115</v>
      </c>
      <c r="B25" s="667"/>
      <c r="C25" s="667"/>
      <c r="D25" s="667"/>
      <c r="E25" s="667"/>
      <c r="F25" s="667"/>
      <c r="G25" s="667"/>
      <c r="H25" s="667"/>
      <c r="I25" s="667"/>
      <c r="J25" s="667"/>
      <c r="K25" s="667"/>
      <c r="L25" s="667"/>
      <c r="M25" s="667"/>
      <c r="N25" s="667"/>
      <c r="O25" s="667"/>
      <c r="P25" s="667"/>
      <c r="Q25" s="667"/>
      <c r="R25" s="667"/>
      <c r="S25" s="667"/>
      <c r="T25" s="667"/>
      <c r="U25" s="667"/>
      <c r="V25" s="667"/>
      <c r="W25" s="667"/>
    </row>
    <row r="26" spans="1:24" s="71" customFormat="1"/>
    <row r="27" spans="1:24" s="14" customFormat="1"/>
    <row r="28" spans="1:24" s="14" customFormat="1"/>
    <row r="29" spans="1:24" s="14" customFormat="1"/>
    <row r="30" spans="1:24" s="14" customFormat="1"/>
    <row r="31" spans="1:24" s="14" customFormat="1"/>
    <row r="32" spans="1:24" s="14" customFormat="1"/>
    <row r="33" s="14" customFormat="1"/>
    <row r="34" s="14" customFormat="1"/>
  </sheetData>
  <mergeCells count="3">
    <mergeCell ref="A23:W23"/>
    <mergeCell ref="A24:W24"/>
    <mergeCell ref="A25:W25"/>
  </mergeCells>
  <printOptions headings="1" gridLines="1"/>
  <pageMargins left="0.5" right="0.5" top="0.5" bottom="0.5" header="0" footer="0"/>
  <pageSetup paperSize="5" scale="64" orientation="landscape"/>
  <legacy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HL33"/>
  <sheetViews>
    <sheetView zoomScaleNormal="100" workbookViewId="0">
      <selection activeCell="O31" sqref="O31"/>
    </sheetView>
  </sheetViews>
  <sheetFormatPr defaultColWidth="8.85546875" defaultRowHeight="15"/>
  <cols>
    <col min="1" max="1" width="10.71093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285156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7109375" bestFit="1" customWidth="1"/>
    <col min="22" max="22" width="10.85546875" bestFit="1" customWidth="1"/>
    <col min="23" max="23" width="12.85546875" bestFit="1" customWidth="1"/>
  </cols>
  <sheetData>
    <row r="1" spans="1:220" s="8" customFormat="1" ht="18.75">
      <c r="A1" s="1" t="s">
        <v>61</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76" customFormat="1">
      <c r="A3" s="6">
        <v>2021</v>
      </c>
      <c r="B3" s="532">
        <v>5</v>
      </c>
      <c r="C3" s="532">
        <v>2</v>
      </c>
      <c r="D3" s="532">
        <v>7</v>
      </c>
      <c r="E3" s="532">
        <v>14</v>
      </c>
      <c r="F3" s="532">
        <v>10</v>
      </c>
      <c r="G3" s="532">
        <v>5</v>
      </c>
      <c r="H3" s="532">
        <v>0.5</v>
      </c>
      <c r="I3" s="532">
        <v>33</v>
      </c>
      <c r="J3" s="532">
        <v>74</v>
      </c>
      <c r="K3" s="532">
        <v>107</v>
      </c>
      <c r="L3" s="532">
        <v>37</v>
      </c>
      <c r="M3" s="532">
        <v>70</v>
      </c>
      <c r="N3" s="532">
        <v>7</v>
      </c>
      <c r="O3" s="532">
        <v>70</v>
      </c>
      <c r="P3" s="558">
        <v>1</v>
      </c>
      <c r="Q3" s="532">
        <v>45</v>
      </c>
      <c r="R3" s="532">
        <v>0</v>
      </c>
      <c r="S3" s="519">
        <v>693700</v>
      </c>
      <c r="T3" s="519">
        <v>748468.38</v>
      </c>
      <c r="U3" s="519">
        <v>748468.38</v>
      </c>
      <c r="V3" s="519">
        <v>0</v>
      </c>
      <c r="W3" s="559">
        <v>0</v>
      </c>
    </row>
    <row r="4" spans="1:220" s="19" customFormat="1">
      <c r="A4" s="417">
        <v>2020</v>
      </c>
      <c r="B4" s="23">
        <v>5</v>
      </c>
      <c r="C4" s="23">
        <v>1</v>
      </c>
      <c r="D4" s="23">
        <v>6</v>
      </c>
      <c r="E4" s="23">
        <v>11</v>
      </c>
      <c r="F4" s="23">
        <v>9</v>
      </c>
      <c r="G4" s="23">
        <v>5</v>
      </c>
      <c r="H4" s="23">
        <v>1</v>
      </c>
      <c r="I4" s="23">
        <v>20</v>
      </c>
      <c r="J4" s="23">
        <v>71</v>
      </c>
      <c r="K4" s="23">
        <v>91</v>
      </c>
      <c r="L4" s="23">
        <v>35</v>
      </c>
      <c r="M4" s="23">
        <v>55</v>
      </c>
      <c r="N4" s="23">
        <v>2</v>
      </c>
      <c r="O4" s="23">
        <v>55</v>
      </c>
      <c r="P4" s="630">
        <v>1</v>
      </c>
      <c r="Q4" s="23">
        <v>33</v>
      </c>
      <c r="R4" s="23">
        <v>0</v>
      </c>
      <c r="S4" s="631">
        <v>687828</v>
      </c>
      <c r="T4" s="631">
        <v>742446</v>
      </c>
      <c r="U4" s="631">
        <v>707828</v>
      </c>
      <c r="V4" s="631">
        <v>34618</v>
      </c>
      <c r="W4" s="582">
        <v>4.07E-2</v>
      </c>
    </row>
    <row r="5" spans="1:220" s="19" customFormat="1">
      <c r="A5" s="417">
        <v>2019</v>
      </c>
      <c r="B5" s="429">
        <v>5</v>
      </c>
      <c r="C5" s="429">
        <v>1</v>
      </c>
      <c r="D5" s="429">
        <v>6</v>
      </c>
      <c r="E5" s="429">
        <v>15</v>
      </c>
      <c r="F5" s="429">
        <v>13</v>
      </c>
      <c r="G5" s="429">
        <v>5</v>
      </c>
      <c r="H5" s="429">
        <v>1</v>
      </c>
      <c r="I5" s="429">
        <v>18</v>
      </c>
      <c r="J5" s="429">
        <v>89</v>
      </c>
      <c r="K5" s="429">
        <v>107</v>
      </c>
      <c r="L5" s="429">
        <v>58</v>
      </c>
      <c r="M5" s="429">
        <v>76</v>
      </c>
      <c r="N5" s="429">
        <v>8</v>
      </c>
      <c r="O5" s="429">
        <v>76</v>
      </c>
      <c r="P5" s="524">
        <v>1</v>
      </c>
      <c r="Q5" s="429">
        <v>37</v>
      </c>
      <c r="R5" s="429">
        <v>0</v>
      </c>
      <c r="S5" s="632">
        <v>672246</v>
      </c>
      <c r="T5" s="632">
        <v>740763</v>
      </c>
      <c r="U5" s="609">
        <v>740684</v>
      </c>
      <c r="V5" s="609">
        <v>79000</v>
      </c>
      <c r="W5" s="444">
        <v>9.3700000000000006E-2</v>
      </c>
    </row>
    <row r="6" spans="1:220" s="17" customFormat="1">
      <c r="A6" s="33">
        <v>2018</v>
      </c>
      <c r="B6" s="20">
        <v>5</v>
      </c>
      <c r="C6" s="20">
        <v>0.75</v>
      </c>
      <c r="D6" s="29">
        <f>SUM(B6:C6)</f>
        <v>5.75</v>
      </c>
      <c r="E6" s="172">
        <f>ROUND((O6/B6), 0)</f>
        <v>12</v>
      </c>
      <c r="F6" s="172">
        <f>ROUND((O6/D6), 0)</f>
        <v>11</v>
      </c>
      <c r="G6" s="20">
        <v>5</v>
      </c>
      <c r="H6" s="20">
        <v>0.75</v>
      </c>
      <c r="I6" s="20">
        <v>26</v>
      </c>
      <c r="J6" s="20">
        <v>74</v>
      </c>
      <c r="K6" s="29">
        <f t="shared" ref="K6" si="0">SUM(I6:J6)</f>
        <v>100</v>
      </c>
      <c r="L6" s="20">
        <v>36</v>
      </c>
      <c r="M6" s="172">
        <f>(I6+L6)</f>
        <v>62</v>
      </c>
      <c r="N6" s="20">
        <v>8</v>
      </c>
      <c r="O6" s="20">
        <v>62</v>
      </c>
      <c r="P6" s="183">
        <f>M6/O6</f>
        <v>1</v>
      </c>
      <c r="Q6" s="20">
        <v>38</v>
      </c>
      <c r="R6" s="20">
        <v>0</v>
      </c>
      <c r="S6" s="24">
        <v>517789</v>
      </c>
      <c r="T6" s="30">
        <f>SUM(U6:V6)</f>
        <v>595737</v>
      </c>
      <c r="U6" s="24">
        <v>431737</v>
      </c>
      <c r="V6" s="24">
        <v>164000</v>
      </c>
      <c r="W6" s="185">
        <f>V6/T6</f>
        <v>0.2752892635508622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5</v>
      </c>
      <c r="C7" s="20">
        <v>0.5</v>
      </c>
      <c r="D7" s="34">
        <f>SUM(B7:C7)</f>
        <v>5.5</v>
      </c>
      <c r="E7" s="34">
        <f>ROUND((O7/B7), 0)</f>
        <v>12</v>
      </c>
      <c r="F7" s="34">
        <f>ROUND((O7/D7), 0)</f>
        <v>11</v>
      </c>
      <c r="G7" s="20">
        <v>5</v>
      </c>
      <c r="H7" s="20">
        <v>0.5</v>
      </c>
      <c r="I7" s="20">
        <v>17</v>
      </c>
      <c r="J7" s="20">
        <v>85</v>
      </c>
      <c r="K7" s="34">
        <f>SUM(I7:J7)</f>
        <v>102</v>
      </c>
      <c r="L7" s="20">
        <v>43</v>
      </c>
      <c r="M7" s="36">
        <f>(I7+L7)</f>
        <v>60</v>
      </c>
      <c r="N7" s="344">
        <v>9</v>
      </c>
      <c r="O7" s="344">
        <v>60</v>
      </c>
      <c r="P7" s="183">
        <f t="shared" ref="P7:P22" si="1">M7/O7</f>
        <v>1</v>
      </c>
      <c r="Q7" s="20">
        <v>41</v>
      </c>
      <c r="R7" s="20">
        <v>0</v>
      </c>
      <c r="S7" s="300">
        <v>676354.97</v>
      </c>
      <c r="T7" s="35">
        <f>SUM(U7:V7)</f>
        <v>674302.33</v>
      </c>
      <c r="U7" s="341">
        <v>433671.72</v>
      </c>
      <c r="V7" s="24">
        <v>240630.61</v>
      </c>
      <c r="W7" s="185">
        <f t="shared" ref="W7:W22" si="2">V7/T7</f>
        <v>0.35685863639237314</v>
      </c>
    </row>
    <row r="8" spans="1:220" s="93" customFormat="1">
      <c r="A8" s="95">
        <v>2016</v>
      </c>
      <c r="B8" s="63">
        <v>5</v>
      </c>
      <c r="C8" s="63">
        <v>0.63</v>
      </c>
      <c r="D8" s="108">
        <f>SUM(B8:C8)</f>
        <v>5.63</v>
      </c>
      <c r="E8" s="109">
        <f>ROUND((O8/B8), 0)</f>
        <v>20</v>
      </c>
      <c r="F8" s="109">
        <f>ROUND((O8/D8), 0)</f>
        <v>17</v>
      </c>
      <c r="G8" s="63">
        <v>5</v>
      </c>
      <c r="H8" s="63">
        <v>0.63</v>
      </c>
      <c r="I8" s="63">
        <v>31</v>
      </c>
      <c r="J8" s="63">
        <v>71</v>
      </c>
      <c r="K8" s="108">
        <f>SUM(I8:J8)</f>
        <v>102</v>
      </c>
      <c r="L8" s="63">
        <v>66.599999999999994</v>
      </c>
      <c r="M8" s="109">
        <f>(I8+L8)</f>
        <v>97.6</v>
      </c>
      <c r="N8" s="63">
        <v>4</v>
      </c>
      <c r="O8" s="63">
        <v>98</v>
      </c>
      <c r="P8" s="183">
        <f t="shared" si="1"/>
        <v>0.99591836734693873</v>
      </c>
      <c r="Q8" s="63">
        <v>31</v>
      </c>
      <c r="R8" s="63">
        <v>0</v>
      </c>
      <c r="S8" s="64">
        <v>509093</v>
      </c>
      <c r="T8" s="110">
        <f>SUM(U8:V8)</f>
        <v>907984</v>
      </c>
      <c r="U8" s="64">
        <v>468984</v>
      </c>
      <c r="V8" s="64">
        <v>439000</v>
      </c>
      <c r="W8" s="185">
        <f t="shared" si="2"/>
        <v>0.48348869583604998</v>
      </c>
    </row>
    <row r="9" spans="1:220" s="71" customFormat="1">
      <c r="A9" s="267">
        <v>2015</v>
      </c>
      <c r="B9" s="91">
        <v>3</v>
      </c>
      <c r="C9" s="91">
        <v>0.63</v>
      </c>
      <c r="D9" s="81">
        <v>3.63</v>
      </c>
      <c r="E9" s="81">
        <v>32</v>
      </c>
      <c r="F9" s="81">
        <v>26.4</v>
      </c>
      <c r="G9" s="111"/>
      <c r="H9" s="111"/>
      <c r="I9" s="91">
        <v>27</v>
      </c>
      <c r="J9" s="91">
        <v>81</v>
      </c>
      <c r="K9" s="81">
        <v>108</v>
      </c>
      <c r="L9" s="91">
        <v>69</v>
      </c>
      <c r="M9" s="81">
        <v>96</v>
      </c>
      <c r="N9" s="91">
        <v>3</v>
      </c>
      <c r="O9" s="91">
        <v>96</v>
      </c>
      <c r="P9" s="183">
        <f t="shared" si="1"/>
        <v>1</v>
      </c>
      <c r="Q9" s="91">
        <v>42</v>
      </c>
      <c r="R9" s="91">
        <v>0</v>
      </c>
      <c r="S9" s="102">
        <v>527075</v>
      </c>
      <c r="T9" s="103">
        <v>931155</v>
      </c>
      <c r="U9" s="102">
        <v>388155</v>
      </c>
      <c r="V9" s="102">
        <v>543000</v>
      </c>
      <c r="W9" s="185">
        <f t="shared" si="2"/>
        <v>0.58314673711680654</v>
      </c>
    </row>
    <row r="10" spans="1:220" s="71" customFormat="1">
      <c r="A10" s="90">
        <v>2014</v>
      </c>
      <c r="B10" s="290">
        <v>5</v>
      </c>
      <c r="C10" s="290">
        <v>0.63</v>
      </c>
      <c r="D10" s="291">
        <v>5.63</v>
      </c>
      <c r="E10" s="292">
        <v>13</v>
      </c>
      <c r="F10" s="292">
        <v>11</v>
      </c>
      <c r="G10" s="111"/>
      <c r="H10" s="111"/>
      <c r="I10" s="290">
        <v>31</v>
      </c>
      <c r="J10" s="290">
        <v>67</v>
      </c>
      <c r="K10" s="291">
        <v>98</v>
      </c>
      <c r="L10" s="290">
        <v>32.99</v>
      </c>
      <c r="M10" s="292">
        <v>64</v>
      </c>
      <c r="N10" s="290">
        <v>4</v>
      </c>
      <c r="O10" s="290">
        <v>64</v>
      </c>
      <c r="P10" s="183">
        <f t="shared" si="1"/>
        <v>1</v>
      </c>
      <c r="Q10" s="290">
        <v>40</v>
      </c>
      <c r="R10" s="290">
        <v>0</v>
      </c>
      <c r="S10" s="293">
        <v>426880</v>
      </c>
      <c r="T10" s="294">
        <v>426932</v>
      </c>
      <c r="U10" s="293">
        <v>383199</v>
      </c>
      <c r="V10" s="293">
        <v>43733</v>
      </c>
      <c r="W10" s="185">
        <f t="shared" si="2"/>
        <v>0.10243551666307515</v>
      </c>
    </row>
    <row r="11" spans="1:220" s="71" customFormat="1">
      <c r="A11" s="107" t="s">
        <v>80</v>
      </c>
      <c r="B11" s="270">
        <v>5</v>
      </c>
      <c r="C11" s="270">
        <v>0.75</v>
      </c>
      <c r="D11" s="295">
        <v>5.75</v>
      </c>
      <c r="E11" s="296">
        <v>16</v>
      </c>
      <c r="F11" s="296">
        <v>13</v>
      </c>
      <c r="G11" s="113"/>
      <c r="H11" s="113"/>
      <c r="I11" s="270">
        <v>22</v>
      </c>
      <c r="J11" s="270">
        <v>83</v>
      </c>
      <c r="K11" s="295">
        <v>105</v>
      </c>
      <c r="L11" s="270">
        <v>55.61</v>
      </c>
      <c r="M11" s="296">
        <v>78</v>
      </c>
      <c r="N11" s="270">
        <v>2</v>
      </c>
      <c r="O11" s="270">
        <v>77.61</v>
      </c>
      <c r="P11" s="183">
        <f t="shared" si="1"/>
        <v>1.0050251256281406</v>
      </c>
      <c r="Q11" s="270">
        <v>58</v>
      </c>
      <c r="R11" s="270">
        <v>0</v>
      </c>
      <c r="S11" s="272">
        <v>571057</v>
      </c>
      <c r="T11" s="297">
        <v>606138</v>
      </c>
      <c r="U11" s="272">
        <v>585267</v>
      </c>
      <c r="V11" s="272">
        <v>20871</v>
      </c>
      <c r="W11" s="185">
        <f t="shared" si="2"/>
        <v>3.4432752937449886E-2</v>
      </c>
    </row>
    <row r="12" spans="1:220" s="71" customFormat="1">
      <c r="A12" s="107" t="s">
        <v>86</v>
      </c>
      <c r="B12" s="270">
        <v>5</v>
      </c>
      <c r="C12" s="270">
        <v>2.2999999999999998</v>
      </c>
      <c r="D12" s="295">
        <v>7.3</v>
      </c>
      <c r="E12" s="296">
        <v>13</v>
      </c>
      <c r="F12" s="296">
        <v>9</v>
      </c>
      <c r="G12" s="113"/>
      <c r="H12" s="113"/>
      <c r="I12" s="270">
        <v>26</v>
      </c>
      <c r="J12" s="270">
        <v>78</v>
      </c>
      <c r="K12" s="295">
        <v>104</v>
      </c>
      <c r="L12" s="270">
        <v>37</v>
      </c>
      <c r="M12" s="296">
        <v>63</v>
      </c>
      <c r="N12" s="270">
        <v>6</v>
      </c>
      <c r="O12" s="270">
        <v>63</v>
      </c>
      <c r="P12" s="183">
        <f t="shared" si="1"/>
        <v>1</v>
      </c>
      <c r="Q12" s="270">
        <v>58</v>
      </c>
      <c r="R12" s="270">
        <v>0</v>
      </c>
      <c r="S12" s="272">
        <v>868757</v>
      </c>
      <c r="T12" s="297">
        <v>876353</v>
      </c>
      <c r="U12" s="272">
        <v>803471</v>
      </c>
      <c r="V12" s="272">
        <v>72882</v>
      </c>
      <c r="W12" s="185">
        <f t="shared" si="2"/>
        <v>8.3165117252979107E-2</v>
      </c>
    </row>
    <row r="13" spans="1:220" s="71" customFormat="1">
      <c r="A13" s="107" t="s">
        <v>81</v>
      </c>
      <c r="B13" s="270">
        <v>4</v>
      </c>
      <c r="C13" s="270">
        <v>3</v>
      </c>
      <c r="D13" s="295">
        <v>7</v>
      </c>
      <c r="E13" s="296">
        <v>23</v>
      </c>
      <c r="F13" s="296">
        <v>13</v>
      </c>
      <c r="G13" s="113"/>
      <c r="H13" s="113"/>
      <c r="I13" s="270">
        <v>37</v>
      </c>
      <c r="J13" s="270">
        <v>97</v>
      </c>
      <c r="K13" s="295">
        <v>134</v>
      </c>
      <c r="L13" s="270">
        <v>47.33</v>
      </c>
      <c r="M13" s="296">
        <v>84</v>
      </c>
      <c r="N13" s="270">
        <v>4</v>
      </c>
      <c r="O13" s="270">
        <v>91.66</v>
      </c>
      <c r="P13" s="183">
        <f t="shared" si="1"/>
        <v>0.91643028583897013</v>
      </c>
      <c r="Q13" s="270">
        <v>49</v>
      </c>
      <c r="R13" s="270">
        <v>0</v>
      </c>
      <c r="S13" s="272">
        <v>1033847</v>
      </c>
      <c r="T13" s="297">
        <v>1028387</v>
      </c>
      <c r="U13" s="272">
        <v>985844</v>
      </c>
      <c r="V13" s="272">
        <v>42543</v>
      </c>
      <c r="W13" s="185">
        <f t="shared" si="2"/>
        <v>4.1368667631932338E-2</v>
      </c>
    </row>
    <row r="14" spans="1:220" s="71" customFormat="1">
      <c r="A14" s="107" t="s">
        <v>82</v>
      </c>
      <c r="B14" s="270">
        <v>6</v>
      </c>
      <c r="C14" s="270">
        <v>3.33</v>
      </c>
      <c r="D14" s="295">
        <v>9.33</v>
      </c>
      <c r="E14" s="296">
        <v>18</v>
      </c>
      <c r="F14" s="296">
        <v>11</v>
      </c>
      <c r="G14" s="113"/>
      <c r="H14" s="113"/>
      <c r="I14" s="270">
        <v>51</v>
      </c>
      <c r="J14" s="270">
        <v>104</v>
      </c>
      <c r="K14" s="295">
        <v>155</v>
      </c>
      <c r="L14" s="270">
        <v>48.78</v>
      </c>
      <c r="M14" s="296">
        <v>100</v>
      </c>
      <c r="N14" s="270">
        <v>3</v>
      </c>
      <c r="O14" s="270">
        <v>105.11</v>
      </c>
      <c r="P14" s="183">
        <f t="shared" si="1"/>
        <v>0.95138426410427168</v>
      </c>
      <c r="Q14" s="270">
        <v>75</v>
      </c>
      <c r="R14" s="270">
        <v>0</v>
      </c>
      <c r="S14" s="272">
        <v>1119690</v>
      </c>
      <c r="T14" s="297">
        <v>1121851</v>
      </c>
      <c r="U14" s="272">
        <v>1096848</v>
      </c>
      <c r="V14" s="272">
        <v>25003</v>
      </c>
      <c r="W14" s="185">
        <f t="shared" si="2"/>
        <v>2.2287273443621299E-2</v>
      </c>
    </row>
    <row r="15" spans="1:220" s="71" customFormat="1">
      <c r="A15" s="107" t="s">
        <v>83</v>
      </c>
      <c r="B15" s="270">
        <v>7</v>
      </c>
      <c r="C15" s="270">
        <v>3.25</v>
      </c>
      <c r="D15" s="295">
        <v>10.25</v>
      </c>
      <c r="E15" s="296">
        <v>18</v>
      </c>
      <c r="F15" s="296">
        <v>12</v>
      </c>
      <c r="G15" s="113"/>
      <c r="H15" s="113"/>
      <c r="I15" s="270">
        <v>51</v>
      </c>
      <c r="J15" s="270">
        <v>121</v>
      </c>
      <c r="K15" s="295">
        <v>172</v>
      </c>
      <c r="L15" s="270">
        <v>64.67</v>
      </c>
      <c r="M15" s="296">
        <v>116</v>
      </c>
      <c r="N15" s="270">
        <v>4</v>
      </c>
      <c r="O15" s="270">
        <v>127</v>
      </c>
      <c r="P15" s="183">
        <f t="shared" si="1"/>
        <v>0.91338582677165359</v>
      </c>
      <c r="Q15" s="270">
        <v>74</v>
      </c>
      <c r="R15" s="270">
        <v>0</v>
      </c>
      <c r="S15" s="272">
        <v>1166268</v>
      </c>
      <c r="T15" s="297">
        <v>1166268</v>
      </c>
      <c r="U15" s="272">
        <v>1129740</v>
      </c>
      <c r="V15" s="272">
        <v>36528</v>
      </c>
      <c r="W15" s="185">
        <f t="shared" si="2"/>
        <v>3.1320416919610246E-2</v>
      </c>
    </row>
    <row r="16" spans="1:220" s="71" customFormat="1">
      <c r="A16" s="107" t="s">
        <v>84</v>
      </c>
      <c r="B16" s="270">
        <v>8</v>
      </c>
      <c r="C16" s="270">
        <v>3</v>
      </c>
      <c r="D16" s="295">
        <v>11</v>
      </c>
      <c r="E16" s="296">
        <v>17</v>
      </c>
      <c r="F16" s="296">
        <v>13</v>
      </c>
      <c r="G16" s="113"/>
      <c r="H16" s="113"/>
      <c r="I16" s="270">
        <v>64</v>
      </c>
      <c r="J16" s="270">
        <v>138</v>
      </c>
      <c r="K16" s="295">
        <v>202</v>
      </c>
      <c r="L16" s="270">
        <v>66.67</v>
      </c>
      <c r="M16" s="296">
        <v>131</v>
      </c>
      <c r="N16" s="270">
        <v>4</v>
      </c>
      <c r="O16" s="270">
        <v>139</v>
      </c>
      <c r="P16" s="183">
        <f t="shared" si="1"/>
        <v>0.94244604316546765</v>
      </c>
      <c r="Q16" s="270">
        <v>68</v>
      </c>
      <c r="R16" s="270">
        <v>0</v>
      </c>
      <c r="S16" s="272">
        <v>1365769</v>
      </c>
      <c r="T16" s="297">
        <v>1375442</v>
      </c>
      <c r="U16" s="272">
        <v>1132932</v>
      </c>
      <c r="V16" s="272">
        <v>242510</v>
      </c>
      <c r="W16" s="185">
        <f t="shared" si="2"/>
        <v>0.17631423207957878</v>
      </c>
    </row>
    <row r="17" spans="1:23" s="71" customFormat="1">
      <c r="A17" s="107">
        <v>2007</v>
      </c>
      <c r="B17" s="270">
        <v>8</v>
      </c>
      <c r="C17" s="270">
        <v>3.33</v>
      </c>
      <c r="D17" s="295">
        <v>11.33</v>
      </c>
      <c r="E17" s="296">
        <v>17</v>
      </c>
      <c r="F17" s="296">
        <v>12</v>
      </c>
      <c r="G17" s="113"/>
      <c r="H17" s="113"/>
      <c r="I17" s="270">
        <v>58</v>
      </c>
      <c r="J17" s="270">
        <v>157</v>
      </c>
      <c r="K17" s="295">
        <v>215</v>
      </c>
      <c r="L17" s="270">
        <v>79</v>
      </c>
      <c r="M17" s="296">
        <v>137</v>
      </c>
      <c r="N17" s="270">
        <v>10</v>
      </c>
      <c r="O17" s="270">
        <v>138.33000000000001</v>
      </c>
      <c r="P17" s="183">
        <f t="shared" si="1"/>
        <v>0.99038531048940925</v>
      </c>
      <c r="Q17" s="270">
        <v>58</v>
      </c>
      <c r="R17" s="270">
        <v>0</v>
      </c>
      <c r="S17" s="276">
        <v>1193826</v>
      </c>
      <c r="T17" s="297">
        <v>1253214</v>
      </c>
      <c r="U17" s="276">
        <v>1087926</v>
      </c>
      <c r="V17" s="276">
        <v>165288</v>
      </c>
      <c r="W17" s="185">
        <f t="shared" si="2"/>
        <v>0.13189128113793813</v>
      </c>
    </row>
    <row r="18" spans="1:23" s="71" customFormat="1">
      <c r="A18" s="107">
        <v>2006</v>
      </c>
      <c r="B18" s="270">
        <v>7</v>
      </c>
      <c r="C18" s="270">
        <v>3</v>
      </c>
      <c r="D18" s="295">
        <v>10</v>
      </c>
      <c r="E18" s="296">
        <v>14</v>
      </c>
      <c r="F18" s="296">
        <v>10</v>
      </c>
      <c r="G18" s="113"/>
      <c r="H18" s="113"/>
      <c r="I18" s="270">
        <v>36</v>
      </c>
      <c r="J18" s="270">
        <v>125</v>
      </c>
      <c r="K18" s="295">
        <v>161</v>
      </c>
      <c r="L18" s="270">
        <v>62</v>
      </c>
      <c r="M18" s="296">
        <v>98</v>
      </c>
      <c r="N18" s="270">
        <v>8</v>
      </c>
      <c r="O18" s="270">
        <v>99</v>
      </c>
      <c r="P18" s="183">
        <f t="shared" si="1"/>
        <v>0.98989898989898994</v>
      </c>
      <c r="Q18" s="270">
        <v>63</v>
      </c>
      <c r="R18" s="270">
        <v>1</v>
      </c>
      <c r="S18" s="276">
        <v>1101729</v>
      </c>
      <c r="T18" s="297">
        <v>1117906</v>
      </c>
      <c r="U18" s="276">
        <v>1012549</v>
      </c>
      <c r="V18" s="276">
        <v>105357</v>
      </c>
      <c r="W18" s="185">
        <f t="shared" si="2"/>
        <v>9.4244954405826614E-2</v>
      </c>
    </row>
    <row r="19" spans="1:23" s="71" customFormat="1">
      <c r="A19" s="107">
        <v>2005</v>
      </c>
      <c r="B19" s="270">
        <v>8</v>
      </c>
      <c r="C19" s="270">
        <v>3</v>
      </c>
      <c r="D19" s="295">
        <v>11</v>
      </c>
      <c r="E19" s="296">
        <v>12</v>
      </c>
      <c r="F19" s="296">
        <v>9</v>
      </c>
      <c r="G19" s="113"/>
      <c r="H19" s="113"/>
      <c r="I19" s="270">
        <v>42</v>
      </c>
      <c r="J19" s="270">
        <v>110</v>
      </c>
      <c r="K19" s="295">
        <v>152</v>
      </c>
      <c r="L19" s="270">
        <v>53</v>
      </c>
      <c r="M19" s="296">
        <v>95</v>
      </c>
      <c r="N19" s="270">
        <v>3</v>
      </c>
      <c r="O19" s="270">
        <v>95</v>
      </c>
      <c r="P19" s="183">
        <f t="shared" si="1"/>
        <v>1</v>
      </c>
      <c r="Q19" s="270">
        <v>74</v>
      </c>
      <c r="R19" s="270">
        <v>4</v>
      </c>
      <c r="S19" s="276">
        <v>1014173</v>
      </c>
      <c r="T19" s="297">
        <v>1021457</v>
      </c>
      <c r="U19" s="276">
        <v>928247</v>
      </c>
      <c r="V19" s="276">
        <v>93210</v>
      </c>
      <c r="W19" s="185">
        <f t="shared" si="2"/>
        <v>9.1252005713407414E-2</v>
      </c>
    </row>
    <row r="20" spans="1:23" s="71" customFormat="1">
      <c r="A20" s="107">
        <v>2004</v>
      </c>
      <c r="B20" s="270">
        <v>8</v>
      </c>
      <c r="C20" s="270">
        <v>3</v>
      </c>
      <c r="D20" s="295">
        <v>11</v>
      </c>
      <c r="E20" s="296">
        <v>12</v>
      </c>
      <c r="F20" s="296">
        <v>9</v>
      </c>
      <c r="G20" s="113"/>
      <c r="H20" s="113"/>
      <c r="I20" s="270">
        <v>51</v>
      </c>
      <c r="J20" s="270">
        <v>133</v>
      </c>
      <c r="K20" s="295">
        <v>184</v>
      </c>
      <c r="L20" s="270">
        <v>44</v>
      </c>
      <c r="M20" s="296">
        <v>95</v>
      </c>
      <c r="N20" s="270">
        <v>8</v>
      </c>
      <c r="O20" s="270">
        <v>97</v>
      </c>
      <c r="P20" s="183">
        <f t="shared" si="1"/>
        <v>0.97938144329896903</v>
      </c>
      <c r="Q20" s="270">
        <v>77</v>
      </c>
      <c r="R20" s="270">
        <v>2</v>
      </c>
      <c r="S20" s="276">
        <v>1014173</v>
      </c>
      <c r="T20" s="297">
        <v>1021457</v>
      </c>
      <c r="U20" s="276">
        <v>928247</v>
      </c>
      <c r="V20" s="276">
        <v>93210</v>
      </c>
      <c r="W20" s="185">
        <f t="shared" si="2"/>
        <v>9.1252005713407414E-2</v>
      </c>
    </row>
    <row r="21" spans="1:23" s="71" customFormat="1">
      <c r="A21" s="107">
        <v>2003</v>
      </c>
      <c r="B21" s="270">
        <v>8</v>
      </c>
      <c r="C21" s="270">
        <v>3</v>
      </c>
      <c r="D21" s="295">
        <v>11</v>
      </c>
      <c r="E21" s="296">
        <v>18</v>
      </c>
      <c r="F21" s="296">
        <v>13</v>
      </c>
      <c r="G21" s="113"/>
      <c r="H21" s="113"/>
      <c r="I21" s="270">
        <v>51</v>
      </c>
      <c r="J21" s="270">
        <v>155</v>
      </c>
      <c r="K21" s="295">
        <v>206</v>
      </c>
      <c r="L21" s="270">
        <v>75</v>
      </c>
      <c r="M21" s="296">
        <v>126</v>
      </c>
      <c r="N21" s="270">
        <v>12</v>
      </c>
      <c r="O21" s="270">
        <v>141</v>
      </c>
      <c r="P21" s="183">
        <f t="shared" si="1"/>
        <v>0.8936170212765957</v>
      </c>
      <c r="Q21" s="270">
        <v>0</v>
      </c>
      <c r="R21" s="270">
        <v>76</v>
      </c>
      <c r="S21" s="276">
        <v>989899</v>
      </c>
      <c r="T21" s="297">
        <v>991490</v>
      </c>
      <c r="U21" s="276">
        <v>888807</v>
      </c>
      <c r="V21" s="276">
        <v>102683</v>
      </c>
      <c r="W21" s="185">
        <f t="shared" si="2"/>
        <v>0.10356433246931386</v>
      </c>
    </row>
    <row r="22" spans="1:23" s="71" customFormat="1">
      <c r="A22" s="107">
        <v>2002</v>
      </c>
      <c r="B22" s="270">
        <v>10</v>
      </c>
      <c r="C22" s="270">
        <v>3</v>
      </c>
      <c r="D22" s="295">
        <v>13</v>
      </c>
      <c r="E22" s="296">
        <v>14</v>
      </c>
      <c r="F22" s="296">
        <v>11</v>
      </c>
      <c r="G22" s="113"/>
      <c r="H22" s="113"/>
      <c r="I22" s="270">
        <v>44</v>
      </c>
      <c r="J22" s="270">
        <v>162</v>
      </c>
      <c r="K22" s="295">
        <v>206</v>
      </c>
      <c r="L22" s="270">
        <v>76</v>
      </c>
      <c r="M22" s="296">
        <v>120</v>
      </c>
      <c r="N22" s="270">
        <v>8</v>
      </c>
      <c r="O22" s="270">
        <v>142</v>
      </c>
      <c r="P22" s="183">
        <f t="shared" si="1"/>
        <v>0.84507042253521125</v>
      </c>
      <c r="Q22" s="270">
        <v>83</v>
      </c>
      <c r="R22" s="270">
        <v>0</v>
      </c>
      <c r="S22" s="276">
        <v>1074823</v>
      </c>
      <c r="T22" s="297">
        <v>1096894</v>
      </c>
      <c r="U22" s="276">
        <v>863855</v>
      </c>
      <c r="V22" s="276">
        <v>233039</v>
      </c>
      <c r="W22" s="185">
        <f t="shared" si="2"/>
        <v>0.21245352787051439</v>
      </c>
    </row>
    <row r="23" spans="1:23" s="14" customFormat="1"/>
    <row r="24" spans="1:23" s="14" customFormat="1"/>
    <row r="25" spans="1:23" s="14" customFormat="1"/>
    <row r="26" spans="1:23" s="14" customFormat="1"/>
    <row r="27" spans="1:23" s="14" customFormat="1"/>
    <row r="28" spans="1:23" s="14" customFormat="1"/>
    <row r="29" spans="1:23" s="14" customFormat="1"/>
    <row r="30" spans="1:23" s="14" customFormat="1"/>
    <row r="31" spans="1:23" s="14" customFormat="1"/>
    <row r="32" spans="1:23" s="14" customFormat="1"/>
    <row r="33" s="14" customFormat="1"/>
  </sheetData>
  <printOptions headings="1" gridLines="1"/>
  <pageMargins left="0.5" right="0.5" top="0.5" bottom="0.5" header="0" footer="0"/>
  <pageSetup paperSize="5" scale="61" orientation="landscape"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HL28"/>
  <sheetViews>
    <sheetView workbookViewId="0">
      <selection activeCell="G29" sqref="G29"/>
    </sheetView>
  </sheetViews>
  <sheetFormatPr defaultColWidth="8.85546875" defaultRowHeight="15"/>
  <cols>
    <col min="1" max="1" width="11.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0.7109375" customWidth="1"/>
    <col min="15" max="15" width="13.42578125" bestFit="1" customWidth="1"/>
    <col min="16" max="16" width="14.28515625" customWidth="1"/>
    <col min="17" max="17" width="10.28515625" customWidth="1"/>
    <col min="18" max="18" width="9" bestFit="1" customWidth="1"/>
    <col min="19" max="19" width="12" bestFit="1" customWidth="1"/>
    <col min="20" max="20" width="13" bestFit="1" customWidth="1"/>
    <col min="21" max="21" width="11.140625" bestFit="1" customWidth="1"/>
    <col min="22" max="22" width="11" bestFit="1" customWidth="1"/>
    <col min="23" max="23" width="12.85546875" bestFit="1" customWidth="1"/>
    <col min="24" max="67" width="8.85546875" style="376"/>
  </cols>
  <sheetData>
    <row r="1" spans="1:220" s="8" customFormat="1" ht="18.75">
      <c r="A1" s="1" t="s">
        <v>51</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27</v>
      </c>
      <c r="C3" s="409">
        <v>23.25</v>
      </c>
      <c r="D3" s="410">
        <v>50.25</v>
      </c>
      <c r="E3" s="411">
        <f t="shared" ref="E3" si="0">ROUND((O3/B3), 0)</f>
        <v>28</v>
      </c>
      <c r="F3" s="411">
        <f t="shared" ref="F3" si="1">ROUND((O3/D3), 0)</f>
        <v>15</v>
      </c>
      <c r="G3" s="409">
        <v>27</v>
      </c>
      <c r="H3" s="409">
        <v>7</v>
      </c>
      <c r="I3" s="409">
        <v>140</v>
      </c>
      <c r="J3" s="409">
        <v>330</v>
      </c>
      <c r="K3" s="410">
        <f t="shared" ref="K3" si="2">SUM(I3:J3)</f>
        <v>470</v>
      </c>
      <c r="L3" s="409">
        <v>119</v>
      </c>
      <c r="M3" s="411">
        <f t="shared" ref="M3" si="3">(I3+L3)</f>
        <v>259</v>
      </c>
      <c r="N3" s="409">
        <v>120</v>
      </c>
      <c r="O3" s="409">
        <v>764</v>
      </c>
      <c r="P3" s="413">
        <f t="shared" ref="P3" si="4">M3/O3</f>
        <v>0.33900523560209422</v>
      </c>
      <c r="Q3" s="409">
        <v>189</v>
      </c>
      <c r="R3" s="409">
        <v>516</v>
      </c>
      <c r="S3" s="414">
        <v>12345433</v>
      </c>
      <c r="T3" s="415">
        <f t="shared" ref="T3" si="5">SUM(U3:V3)</f>
        <v>16249989</v>
      </c>
      <c r="U3" s="414">
        <v>15689997</v>
      </c>
      <c r="V3" s="414">
        <v>559992</v>
      </c>
      <c r="W3" s="335">
        <f t="shared" ref="W3" si="6">V3/T3</f>
        <v>3.446106948133934E-2</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23</v>
      </c>
      <c r="C4" s="409">
        <v>22.75</v>
      </c>
      <c r="D4" s="410">
        <f>SUM(B4:C4)</f>
        <v>45.75</v>
      </c>
      <c r="E4" s="411">
        <f>ROUND((O4/B4), 0)</f>
        <v>38</v>
      </c>
      <c r="F4" s="411">
        <f>ROUND((O4/D4), 0)</f>
        <v>19</v>
      </c>
      <c r="G4" s="409">
        <v>23</v>
      </c>
      <c r="H4" s="409">
        <v>5.5</v>
      </c>
      <c r="I4" s="409">
        <v>140</v>
      </c>
      <c r="J4" s="409">
        <v>383</v>
      </c>
      <c r="K4" s="410">
        <v>521</v>
      </c>
      <c r="L4" s="409">
        <v>120</v>
      </c>
      <c r="M4" s="411">
        <v>260</v>
      </c>
      <c r="N4" s="409">
        <v>138</v>
      </c>
      <c r="O4" s="409">
        <v>872</v>
      </c>
      <c r="P4" s="413">
        <v>0.29799999999999999</v>
      </c>
      <c r="Q4" s="409">
        <v>156</v>
      </c>
      <c r="R4" s="409">
        <v>318</v>
      </c>
      <c r="S4" s="414">
        <v>12294508</v>
      </c>
      <c r="T4" s="415">
        <f>SUM(U4:V4)</f>
        <v>14454524</v>
      </c>
      <c r="U4" s="414">
        <v>13998350</v>
      </c>
      <c r="V4" s="414">
        <v>456174</v>
      </c>
      <c r="W4" s="335">
        <v>3.1600000000000003E-2</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22</v>
      </c>
      <c r="C5" s="409">
        <v>26.5</v>
      </c>
      <c r="D5" s="410">
        <f>SUM(B5:C5)</f>
        <v>48.5</v>
      </c>
      <c r="E5" s="411">
        <f>ROUND((O5/B5), 0)</f>
        <v>41</v>
      </c>
      <c r="F5" s="411">
        <f>ROUND((O5/D5), 0)</f>
        <v>19</v>
      </c>
      <c r="G5" s="409">
        <v>22</v>
      </c>
      <c r="H5" s="409">
        <v>9.25</v>
      </c>
      <c r="I5" s="409">
        <v>139</v>
      </c>
      <c r="J5" s="409">
        <v>362</v>
      </c>
      <c r="K5" s="410">
        <f t="shared" ref="K5" si="7">SUM(I5:J5)</f>
        <v>501</v>
      </c>
      <c r="L5" s="409">
        <v>157</v>
      </c>
      <c r="M5" s="411">
        <f>(I5+L5)</f>
        <v>296</v>
      </c>
      <c r="N5" s="409">
        <v>133</v>
      </c>
      <c r="O5" s="409">
        <v>902</v>
      </c>
      <c r="P5" s="413">
        <f t="shared" ref="P5" si="8">M5/O5</f>
        <v>0.32815964523281599</v>
      </c>
      <c r="Q5" s="409">
        <v>158</v>
      </c>
      <c r="R5" s="409">
        <v>284</v>
      </c>
      <c r="S5" s="414">
        <v>12279099</v>
      </c>
      <c r="T5" s="415">
        <f>SUM(U5:V5)</f>
        <v>15073259</v>
      </c>
      <c r="U5" s="414">
        <v>13079891</v>
      </c>
      <c r="V5" s="414">
        <v>1993368</v>
      </c>
      <c r="W5" s="335">
        <f t="shared" ref="W5" si="9">V5/T5</f>
        <v>0.13224532266048106</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19</v>
      </c>
      <c r="C6" s="20">
        <v>29.5</v>
      </c>
      <c r="D6" s="29">
        <f>SUM(B6:C6)</f>
        <v>48.5</v>
      </c>
      <c r="E6" s="172">
        <f>ROUND((O6/B6), 0)</f>
        <v>53</v>
      </c>
      <c r="F6" s="172">
        <f>ROUND((O6/D6), 0)</f>
        <v>21</v>
      </c>
      <c r="G6" s="20">
        <v>19</v>
      </c>
      <c r="H6" s="20">
        <v>8.75</v>
      </c>
      <c r="I6" s="20">
        <v>142</v>
      </c>
      <c r="J6" s="20">
        <v>331</v>
      </c>
      <c r="K6" s="29">
        <f t="shared" ref="K6" si="10">SUM(I6:J6)</f>
        <v>473</v>
      </c>
      <c r="L6" s="20">
        <v>149</v>
      </c>
      <c r="M6" s="172">
        <f>(I6+L6)</f>
        <v>291</v>
      </c>
      <c r="N6" s="20">
        <v>132</v>
      </c>
      <c r="O6" s="20">
        <v>1013</v>
      </c>
      <c r="P6" s="183">
        <f>M6/O6</f>
        <v>0.28726554787759129</v>
      </c>
      <c r="Q6" s="20">
        <v>100</v>
      </c>
      <c r="R6" s="20">
        <v>343</v>
      </c>
      <c r="S6" s="24">
        <v>12087494</v>
      </c>
      <c r="T6" s="30">
        <f>SUM(U6:V6)</f>
        <v>12819784.770000001</v>
      </c>
      <c r="U6" s="24">
        <f>36628769*33%</f>
        <v>12087493.770000001</v>
      </c>
      <c r="V6" s="24">
        <v>732291</v>
      </c>
      <c r="W6" s="185">
        <f>V6/T6</f>
        <v>5.7121941837405737E-2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19</v>
      </c>
      <c r="C7" s="20">
        <v>21.5</v>
      </c>
      <c r="D7" s="34">
        <f>SUM(B7:C7)</f>
        <v>40.5</v>
      </c>
      <c r="E7" s="34">
        <f>ROUND((O7/B7), 0)</f>
        <v>64</v>
      </c>
      <c r="F7" s="34">
        <f>ROUND((O7/D7), 0)</f>
        <v>30</v>
      </c>
      <c r="G7" s="20">
        <v>19</v>
      </c>
      <c r="H7" s="20">
        <v>6.5</v>
      </c>
      <c r="I7" s="20">
        <v>122</v>
      </c>
      <c r="J7" s="20">
        <v>258</v>
      </c>
      <c r="K7" s="34">
        <f>SUM(I7:J7)</f>
        <v>380</v>
      </c>
      <c r="L7" s="20">
        <v>116</v>
      </c>
      <c r="M7" s="36">
        <f>(I7+L7)</f>
        <v>238</v>
      </c>
      <c r="N7" s="344">
        <v>105</v>
      </c>
      <c r="O7" s="344">
        <v>1210</v>
      </c>
      <c r="P7" s="183">
        <f t="shared" ref="P7:P22" si="11">M7/O7</f>
        <v>0.19669421487603306</v>
      </c>
      <c r="Q7" s="20">
        <v>94</v>
      </c>
      <c r="R7" s="20">
        <v>194</v>
      </c>
      <c r="S7" s="300">
        <v>8896822</v>
      </c>
      <c r="T7" s="35">
        <f>SUM(U7:V7)</f>
        <v>30086675</v>
      </c>
      <c r="U7" s="341">
        <v>30086675</v>
      </c>
      <c r="V7" s="24">
        <v>0</v>
      </c>
      <c r="W7" s="185">
        <f t="shared" ref="W7:W22" si="12">V7/T7</f>
        <v>0</v>
      </c>
    </row>
    <row r="8" spans="1:220" s="65" customFormat="1">
      <c r="A8" s="95">
        <v>2016</v>
      </c>
      <c r="B8" s="63">
        <v>20</v>
      </c>
      <c r="C8" s="63">
        <v>12</v>
      </c>
      <c r="D8" s="212">
        <f>B8+C8</f>
        <v>32</v>
      </c>
      <c r="E8" s="109">
        <f>ROUND((O8/B8), 0)</f>
        <v>47</v>
      </c>
      <c r="F8" s="109">
        <f>ROUND((O8/D8), 0)</f>
        <v>29</v>
      </c>
      <c r="G8" s="63">
        <v>20</v>
      </c>
      <c r="H8" s="63">
        <v>12</v>
      </c>
      <c r="I8" s="63">
        <v>73</v>
      </c>
      <c r="J8" s="63">
        <v>213</v>
      </c>
      <c r="K8" s="108">
        <f>I8+J8</f>
        <v>286</v>
      </c>
      <c r="L8" s="63">
        <v>96</v>
      </c>
      <c r="M8" s="109">
        <f>I8+L8</f>
        <v>169</v>
      </c>
      <c r="N8" s="63">
        <v>60</v>
      </c>
      <c r="O8" s="63">
        <v>938</v>
      </c>
      <c r="P8" s="183">
        <f t="shared" si="11"/>
        <v>0.18017057569296374</v>
      </c>
      <c r="Q8" s="63">
        <v>110</v>
      </c>
      <c r="R8" s="63">
        <v>325</v>
      </c>
      <c r="S8" s="64">
        <v>4758402</v>
      </c>
      <c r="T8" s="110">
        <f>SUM(U8:V8)</f>
        <v>28518358</v>
      </c>
      <c r="U8" s="64">
        <v>28518358</v>
      </c>
      <c r="V8" s="64">
        <v>0</v>
      </c>
      <c r="W8" s="185">
        <f t="shared" si="12"/>
        <v>0</v>
      </c>
    </row>
    <row r="9" spans="1:220" s="302" customFormat="1">
      <c r="A9" s="304">
        <v>2015</v>
      </c>
      <c r="B9" s="31">
        <v>21</v>
      </c>
      <c r="C9" s="31">
        <v>14</v>
      </c>
      <c r="D9" s="298">
        <v>35</v>
      </c>
      <c r="E9" s="298">
        <v>61.4</v>
      </c>
      <c r="F9" s="298">
        <v>36.799999999999997</v>
      </c>
      <c r="G9" s="299"/>
      <c r="H9" s="299"/>
      <c r="I9" s="31">
        <v>164</v>
      </c>
      <c r="J9" s="31">
        <v>241</v>
      </c>
      <c r="K9" s="298">
        <v>482</v>
      </c>
      <c r="L9" s="31">
        <v>76</v>
      </c>
      <c r="M9" s="298">
        <v>133</v>
      </c>
      <c r="N9" s="31">
        <v>37</v>
      </c>
      <c r="O9" s="31">
        <v>437</v>
      </c>
      <c r="P9" s="183">
        <f t="shared" si="11"/>
        <v>0.30434782608695654</v>
      </c>
      <c r="Q9" s="31">
        <v>108</v>
      </c>
      <c r="R9" s="31">
        <v>773</v>
      </c>
      <c r="S9" s="300">
        <v>6674773</v>
      </c>
      <c r="T9" s="301">
        <v>10402598</v>
      </c>
      <c r="U9" s="300">
        <v>9527490</v>
      </c>
      <c r="V9" s="300">
        <v>875108</v>
      </c>
      <c r="W9" s="185">
        <f t="shared" si="12"/>
        <v>8.4123985181394106E-2</v>
      </c>
    </row>
    <row r="10" spans="1:220" s="303" customFormat="1">
      <c r="A10" s="304">
        <v>2014</v>
      </c>
      <c r="B10" s="31">
        <v>21</v>
      </c>
      <c r="C10" s="31">
        <v>7</v>
      </c>
      <c r="D10" s="298">
        <v>28</v>
      </c>
      <c r="E10" s="298">
        <v>66.099999999999994</v>
      </c>
      <c r="F10" s="298">
        <v>49.6</v>
      </c>
      <c r="G10" s="299"/>
      <c r="H10" s="299"/>
      <c r="I10" s="31">
        <v>76</v>
      </c>
      <c r="J10" s="31">
        <v>205</v>
      </c>
      <c r="K10" s="298">
        <v>281</v>
      </c>
      <c r="L10" s="31">
        <v>96</v>
      </c>
      <c r="M10" s="298">
        <v>156</v>
      </c>
      <c r="N10" s="31">
        <v>47</v>
      </c>
      <c r="O10" s="31">
        <v>418</v>
      </c>
      <c r="P10" s="183">
        <f t="shared" si="11"/>
        <v>0.37320574162679426</v>
      </c>
      <c r="Q10" s="31">
        <v>122</v>
      </c>
      <c r="R10" s="31">
        <v>174</v>
      </c>
      <c r="S10" s="300">
        <v>5451049</v>
      </c>
      <c r="T10" s="301">
        <v>8939004</v>
      </c>
      <c r="U10" s="300">
        <v>8425788</v>
      </c>
      <c r="V10" s="300">
        <v>513216</v>
      </c>
      <c r="W10" s="185">
        <f t="shared" si="12"/>
        <v>5.7413107769053465E-2</v>
      </c>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row>
    <row r="11" spans="1:220" s="71" customFormat="1">
      <c r="A11" s="90">
        <v>2013</v>
      </c>
      <c r="B11" s="361">
        <v>24</v>
      </c>
      <c r="C11" s="207">
        <v>8</v>
      </c>
      <c r="D11" s="212">
        <f>B11+C11</f>
        <v>32</v>
      </c>
      <c r="E11" s="109">
        <f t="shared" ref="E11:E22" si="13">ROUND((O11/B11), 0)</f>
        <v>24</v>
      </c>
      <c r="F11" s="109">
        <f t="shared" ref="F11:F22" si="14">ROUND((O11/D11), 0)</f>
        <v>18</v>
      </c>
      <c r="G11" s="113"/>
      <c r="H11" s="113"/>
      <c r="I11" s="361">
        <v>81</v>
      </c>
      <c r="J11" s="361">
        <v>223</v>
      </c>
      <c r="K11" s="108">
        <f>I11+J11</f>
        <v>304</v>
      </c>
      <c r="L11" s="361">
        <v>144</v>
      </c>
      <c r="M11" s="109">
        <f>I11+L11</f>
        <v>225</v>
      </c>
      <c r="N11" s="361">
        <v>10</v>
      </c>
      <c r="O11" s="361">
        <v>583</v>
      </c>
      <c r="P11" s="183">
        <f t="shared" si="11"/>
        <v>0.38593481989708406</v>
      </c>
      <c r="Q11" s="361">
        <v>158</v>
      </c>
      <c r="R11" s="361">
        <v>143</v>
      </c>
      <c r="S11" s="112">
        <v>9493556</v>
      </c>
      <c r="T11" s="110">
        <f t="shared" ref="T11:T22" si="15">SUM(U11:V11)</f>
        <v>10103524</v>
      </c>
      <c r="U11" s="64">
        <v>7919249</v>
      </c>
      <c r="V11" s="92">
        <v>2184275</v>
      </c>
      <c r="W11" s="185">
        <f t="shared" si="12"/>
        <v>0.21618942064174837</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row>
    <row r="12" spans="1:220" s="71" customFormat="1">
      <c r="A12" s="90">
        <v>2012</v>
      </c>
      <c r="B12" s="361">
        <v>24</v>
      </c>
      <c r="C12" s="207">
        <v>8</v>
      </c>
      <c r="D12" s="212">
        <f>B12+C12</f>
        <v>32</v>
      </c>
      <c r="E12" s="109">
        <f t="shared" si="13"/>
        <v>11</v>
      </c>
      <c r="F12" s="109">
        <f t="shared" si="14"/>
        <v>9</v>
      </c>
      <c r="G12" s="113"/>
      <c r="H12" s="113"/>
      <c r="I12" s="361">
        <v>110</v>
      </c>
      <c r="J12" s="361">
        <v>159</v>
      </c>
      <c r="K12" s="108">
        <f>I12+J12</f>
        <v>269</v>
      </c>
      <c r="L12" s="361">
        <v>135</v>
      </c>
      <c r="M12" s="109">
        <f>I12+L12</f>
        <v>245</v>
      </c>
      <c r="N12" s="361">
        <v>46</v>
      </c>
      <c r="O12" s="361">
        <v>272</v>
      </c>
      <c r="P12" s="183">
        <f t="shared" si="11"/>
        <v>0.90073529411764708</v>
      </c>
      <c r="Q12" s="361">
        <v>178</v>
      </c>
      <c r="R12" s="361">
        <v>105</v>
      </c>
      <c r="S12" s="112">
        <v>7152594</v>
      </c>
      <c r="T12" s="110">
        <f t="shared" si="15"/>
        <v>9225280</v>
      </c>
      <c r="U12" s="112">
        <v>7400485</v>
      </c>
      <c r="V12" s="112">
        <v>1824795</v>
      </c>
      <c r="W12" s="185">
        <f t="shared" si="12"/>
        <v>0.19780375229803324</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row>
    <row r="13" spans="1:220" s="71" customFormat="1">
      <c r="A13" s="90" t="s">
        <v>81</v>
      </c>
      <c r="B13" s="361">
        <v>24</v>
      </c>
      <c r="C13" s="207">
        <v>15.125</v>
      </c>
      <c r="D13" s="212">
        <f t="shared" ref="D13:D22" si="16">SUM(B13:C13)</f>
        <v>39.125</v>
      </c>
      <c r="E13" s="109">
        <f t="shared" si="13"/>
        <v>24</v>
      </c>
      <c r="F13" s="109">
        <f t="shared" si="14"/>
        <v>15</v>
      </c>
      <c r="G13" s="113"/>
      <c r="H13" s="113"/>
      <c r="I13" s="361">
        <v>125</v>
      </c>
      <c r="J13" s="361">
        <v>258</v>
      </c>
      <c r="K13" s="108">
        <f t="shared" ref="K13:K22" si="17">SUM(I13:J13)</f>
        <v>383</v>
      </c>
      <c r="L13" s="361">
        <v>173</v>
      </c>
      <c r="M13" s="109">
        <f t="shared" ref="M13:M22" si="18">(I13+L13)</f>
        <v>298</v>
      </c>
      <c r="N13" s="361">
        <v>69</v>
      </c>
      <c r="O13" s="361">
        <v>581</v>
      </c>
      <c r="P13" s="183">
        <f t="shared" si="11"/>
        <v>0.5129087779690189</v>
      </c>
      <c r="Q13" s="361">
        <v>157</v>
      </c>
      <c r="R13" s="361">
        <v>103</v>
      </c>
      <c r="S13" s="112">
        <v>4536737</v>
      </c>
      <c r="T13" s="110">
        <f t="shared" si="15"/>
        <v>4946931</v>
      </c>
      <c r="U13" s="112">
        <v>3920319</v>
      </c>
      <c r="V13" s="112">
        <v>1026612</v>
      </c>
      <c r="W13" s="185">
        <f t="shared" si="12"/>
        <v>0.20752502915443938</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row>
    <row r="14" spans="1:220" s="71" customFormat="1">
      <c r="A14" s="90" t="s">
        <v>82</v>
      </c>
      <c r="B14" s="361">
        <v>25</v>
      </c>
      <c r="C14" s="361">
        <v>9.75</v>
      </c>
      <c r="D14" s="108">
        <f t="shared" si="16"/>
        <v>34.75</v>
      </c>
      <c r="E14" s="109">
        <f t="shared" si="13"/>
        <v>23</v>
      </c>
      <c r="F14" s="109">
        <f t="shared" si="14"/>
        <v>16</v>
      </c>
      <c r="G14" s="113"/>
      <c r="H14" s="113"/>
      <c r="I14" s="361">
        <v>137</v>
      </c>
      <c r="J14" s="361">
        <v>267</v>
      </c>
      <c r="K14" s="108">
        <f t="shared" si="17"/>
        <v>404</v>
      </c>
      <c r="L14" s="361">
        <v>176.2</v>
      </c>
      <c r="M14" s="109">
        <f t="shared" si="18"/>
        <v>313.2</v>
      </c>
      <c r="N14" s="361">
        <v>68</v>
      </c>
      <c r="O14" s="361">
        <v>568.70000000000005</v>
      </c>
      <c r="P14" s="183">
        <f t="shared" si="11"/>
        <v>0.55072973448215223</v>
      </c>
      <c r="Q14" s="361">
        <v>180</v>
      </c>
      <c r="R14" s="361">
        <v>90</v>
      </c>
      <c r="S14" s="112">
        <v>5615710.1117000002</v>
      </c>
      <c r="T14" s="110">
        <f t="shared" si="15"/>
        <v>5864358</v>
      </c>
      <c r="U14" s="112">
        <v>4232200</v>
      </c>
      <c r="V14" s="112">
        <v>1632158</v>
      </c>
      <c r="W14" s="185">
        <f t="shared" si="12"/>
        <v>0.27831827456645725</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row>
    <row r="15" spans="1:220" s="71" customFormat="1">
      <c r="A15" s="90" t="s">
        <v>83</v>
      </c>
      <c r="B15" s="361">
        <v>23</v>
      </c>
      <c r="C15" s="361">
        <v>5.5</v>
      </c>
      <c r="D15" s="108">
        <f t="shared" si="16"/>
        <v>28.5</v>
      </c>
      <c r="E15" s="109">
        <f t="shared" si="13"/>
        <v>23</v>
      </c>
      <c r="F15" s="109">
        <f t="shared" si="14"/>
        <v>18</v>
      </c>
      <c r="G15" s="113"/>
      <c r="H15" s="113"/>
      <c r="I15" s="361">
        <v>129</v>
      </c>
      <c r="J15" s="361">
        <v>258</v>
      </c>
      <c r="K15" s="108">
        <f t="shared" si="17"/>
        <v>387</v>
      </c>
      <c r="L15" s="361">
        <v>170</v>
      </c>
      <c r="M15" s="109">
        <f t="shared" si="18"/>
        <v>299</v>
      </c>
      <c r="N15" s="361">
        <v>55</v>
      </c>
      <c r="O15" s="361">
        <v>526</v>
      </c>
      <c r="P15" s="183">
        <f t="shared" si="11"/>
        <v>0.5684410646387833</v>
      </c>
      <c r="Q15" s="361">
        <v>144</v>
      </c>
      <c r="R15" s="361">
        <v>76</v>
      </c>
      <c r="S15" s="112">
        <v>4595940</v>
      </c>
      <c r="T15" s="110">
        <f t="shared" si="15"/>
        <v>4715269</v>
      </c>
      <c r="U15" s="112">
        <v>3838110</v>
      </c>
      <c r="V15" s="112">
        <v>877159</v>
      </c>
      <c r="W15" s="185">
        <f t="shared" si="12"/>
        <v>0.18602522994976534</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row>
    <row r="16" spans="1:220" s="71" customFormat="1">
      <c r="A16" s="90" t="s">
        <v>84</v>
      </c>
      <c r="B16" s="361">
        <v>23</v>
      </c>
      <c r="C16" s="361">
        <v>9</v>
      </c>
      <c r="D16" s="108">
        <f t="shared" si="16"/>
        <v>32</v>
      </c>
      <c r="E16" s="109">
        <f t="shared" si="13"/>
        <v>31</v>
      </c>
      <c r="F16" s="109">
        <f t="shared" si="14"/>
        <v>22</v>
      </c>
      <c r="G16" s="113"/>
      <c r="H16" s="113"/>
      <c r="I16" s="361">
        <v>210</v>
      </c>
      <c r="J16" s="361">
        <v>300</v>
      </c>
      <c r="K16" s="108">
        <f t="shared" si="17"/>
        <v>510</v>
      </c>
      <c r="L16" s="361">
        <v>220</v>
      </c>
      <c r="M16" s="109">
        <f t="shared" si="18"/>
        <v>430</v>
      </c>
      <c r="N16" s="361">
        <v>63</v>
      </c>
      <c r="O16" s="361">
        <v>706</v>
      </c>
      <c r="P16" s="183">
        <f t="shared" si="11"/>
        <v>0.60906515580736542</v>
      </c>
      <c r="Q16" s="361">
        <v>126</v>
      </c>
      <c r="R16" s="361">
        <v>40</v>
      </c>
      <c r="S16" s="112">
        <v>4127476.5087795001</v>
      </c>
      <c r="T16" s="110">
        <f t="shared" si="15"/>
        <v>4203598.5087794997</v>
      </c>
      <c r="U16" s="112">
        <v>2879286.5087795001</v>
      </c>
      <c r="V16" s="112">
        <v>1324312</v>
      </c>
      <c r="W16" s="185">
        <f t="shared" si="12"/>
        <v>0.31504245641777751</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row>
    <row r="17" spans="1:67" s="71" customFormat="1">
      <c r="A17" s="90">
        <v>2007</v>
      </c>
      <c r="B17" s="361">
        <v>23</v>
      </c>
      <c r="C17" s="361">
        <v>4</v>
      </c>
      <c r="D17" s="194">
        <f t="shared" si="16"/>
        <v>27</v>
      </c>
      <c r="E17" s="109">
        <f t="shared" si="13"/>
        <v>22</v>
      </c>
      <c r="F17" s="109">
        <f t="shared" si="14"/>
        <v>19</v>
      </c>
      <c r="G17" s="113"/>
      <c r="H17" s="113"/>
      <c r="I17" s="361">
        <v>123</v>
      </c>
      <c r="J17" s="361">
        <v>245</v>
      </c>
      <c r="K17" s="194">
        <f t="shared" si="17"/>
        <v>368</v>
      </c>
      <c r="L17" s="356">
        <v>162</v>
      </c>
      <c r="M17" s="109">
        <f t="shared" si="18"/>
        <v>285</v>
      </c>
      <c r="N17" s="361">
        <v>44</v>
      </c>
      <c r="O17" s="361">
        <v>505</v>
      </c>
      <c r="P17" s="183">
        <f t="shared" si="11"/>
        <v>0.5643564356435643</v>
      </c>
      <c r="Q17" s="361">
        <v>109</v>
      </c>
      <c r="R17" s="361">
        <v>24</v>
      </c>
      <c r="S17" s="192">
        <v>5995759</v>
      </c>
      <c r="T17" s="110">
        <f t="shared" si="15"/>
        <v>6040982</v>
      </c>
      <c r="U17" s="208">
        <v>2742122</v>
      </c>
      <c r="V17" s="208">
        <v>3298860</v>
      </c>
      <c r="W17" s="185">
        <f t="shared" si="12"/>
        <v>0.54608009095210019</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row>
    <row r="18" spans="1:67" s="71" customFormat="1">
      <c r="A18" s="90">
        <v>2006</v>
      </c>
      <c r="B18" s="361">
        <v>22</v>
      </c>
      <c r="C18" s="361">
        <v>7</v>
      </c>
      <c r="D18" s="194">
        <f t="shared" si="16"/>
        <v>29</v>
      </c>
      <c r="E18" s="109">
        <f t="shared" si="13"/>
        <v>11</v>
      </c>
      <c r="F18" s="109">
        <f t="shared" si="14"/>
        <v>9</v>
      </c>
      <c r="G18" s="113"/>
      <c r="H18" s="113"/>
      <c r="I18" s="361">
        <v>110</v>
      </c>
      <c r="J18" s="361">
        <v>148</v>
      </c>
      <c r="K18" s="194">
        <f t="shared" si="17"/>
        <v>258</v>
      </c>
      <c r="L18" s="361">
        <v>99</v>
      </c>
      <c r="M18" s="109">
        <f t="shared" si="18"/>
        <v>209</v>
      </c>
      <c r="N18" s="361">
        <v>18</v>
      </c>
      <c r="O18" s="361">
        <v>248</v>
      </c>
      <c r="P18" s="183">
        <f t="shared" si="11"/>
        <v>0.842741935483871</v>
      </c>
      <c r="Q18" s="361">
        <v>151</v>
      </c>
      <c r="R18" s="361">
        <v>70</v>
      </c>
      <c r="S18" s="192">
        <v>5068893</v>
      </c>
      <c r="T18" s="110">
        <f t="shared" si="15"/>
        <v>5148790</v>
      </c>
      <c r="U18" s="192">
        <v>3023689</v>
      </c>
      <c r="V18" s="192">
        <v>2125101</v>
      </c>
      <c r="W18" s="185">
        <f t="shared" si="12"/>
        <v>0.41273794425486376</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row>
    <row r="19" spans="1:67" s="71" customFormat="1">
      <c r="A19" s="90">
        <v>2005</v>
      </c>
      <c r="B19" s="361">
        <v>21</v>
      </c>
      <c r="C19" s="361">
        <v>2</v>
      </c>
      <c r="D19" s="194">
        <f t="shared" si="16"/>
        <v>23</v>
      </c>
      <c r="E19" s="109">
        <f t="shared" si="13"/>
        <v>15</v>
      </c>
      <c r="F19" s="109">
        <f t="shared" si="14"/>
        <v>14</v>
      </c>
      <c r="G19" s="113"/>
      <c r="H19" s="113"/>
      <c r="I19" s="361">
        <v>137</v>
      </c>
      <c r="J19" s="361">
        <v>240</v>
      </c>
      <c r="K19" s="194">
        <f t="shared" si="17"/>
        <v>377</v>
      </c>
      <c r="L19" s="361">
        <v>140</v>
      </c>
      <c r="M19" s="109">
        <f t="shared" si="18"/>
        <v>277</v>
      </c>
      <c r="N19" s="361">
        <v>20</v>
      </c>
      <c r="O19" s="361">
        <v>312</v>
      </c>
      <c r="P19" s="183">
        <f t="shared" si="11"/>
        <v>0.88782051282051277</v>
      </c>
      <c r="Q19" s="361">
        <v>154</v>
      </c>
      <c r="R19" s="361">
        <v>67</v>
      </c>
      <c r="S19" s="192">
        <v>3898200</v>
      </c>
      <c r="T19" s="110">
        <f t="shared" si="15"/>
        <v>3898200</v>
      </c>
      <c r="U19" s="192">
        <v>2600000</v>
      </c>
      <c r="V19" s="192">
        <v>1298200</v>
      </c>
      <c r="W19" s="185">
        <f t="shared" si="12"/>
        <v>0.33302549894823252</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row>
    <row r="20" spans="1:67" s="71" customFormat="1">
      <c r="A20" s="90">
        <v>2004</v>
      </c>
      <c r="B20" s="195">
        <v>19</v>
      </c>
      <c r="C20" s="195">
        <v>2</v>
      </c>
      <c r="D20" s="194">
        <f t="shared" si="16"/>
        <v>21</v>
      </c>
      <c r="E20" s="109">
        <f t="shared" si="13"/>
        <v>24</v>
      </c>
      <c r="F20" s="109">
        <f t="shared" si="14"/>
        <v>22</v>
      </c>
      <c r="G20" s="113"/>
      <c r="H20" s="113"/>
      <c r="I20" s="195">
        <v>147</v>
      </c>
      <c r="J20" s="195">
        <v>213</v>
      </c>
      <c r="K20" s="194">
        <f t="shared" si="17"/>
        <v>360</v>
      </c>
      <c r="L20" s="195">
        <v>143</v>
      </c>
      <c r="M20" s="109">
        <f t="shared" si="18"/>
        <v>290</v>
      </c>
      <c r="N20" s="195">
        <v>51</v>
      </c>
      <c r="O20" s="195">
        <v>454</v>
      </c>
      <c r="P20" s="183">
        <f t="shared" si="11"/>
        <v>0.63876651982378851</v>
      </c>
      <c r="Q20" s="195">
        <v>164</v>
      </c>
      <c r="R20" s="361">
        <v>63</v>
      </c>
      <c r="S20" s="192">
        <v>3516491</v>
      </c>
      <c r="T20" s="110">
        <f t="shared" si="15"/>
        <v>3516491</v>
      </c>
      <c r="U20" s="192">
        <v>2656474</v>
      </c>
      <c r="V20" s="192">
        <v>860017</v>
      </c>
      <c r="W20" s="185">
        <f t="shared" si="12"/>
        <v>0.24456681390624915</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row>
    <row r="21" spans="1:67" s="71" customFormat="1">
      <c r="A21" s="90">
        <v>2003</v>
      </c>
      <c r="B21" s="195">
        <v>18</v>
      </c>
      <c r="C21" s="195">
        <f>ROUND(1.5, 0)</f>
        <v>2</v>
      </c>
      <c r="D21" s="194">
        <f t="shared" si="16"/>
        <v>20</v>
      </c>
      <c r="E21" s="109">
        <f t="shared" si="13"/>
        <v>19</v>
      </c>
      <c r="F21" s="109">
        <f t="shared" si="14"/>
        <v>17</v>
      </c>
      <c r="G21" s="113"/>
      <c r="H21" s="113"/>
      <c r="I21" s="195">
        <v>159</v>
      </c>
      <c r="J21" s="195">
        <v>169</v>
      </c>
      <c r="K21" s="194">
        <f t="shared" si="17"/>
        <v>328</v>
      </c>
      <c r="L21" s="195">
        <v>127</v>
      </c>
      <c r="M21" s="109">
        <f t="shared" si="18"/>
        <v>286</v>
      </c>
      <c r="N21" s="195">
        <v>38</v>
      </c>
      <c r="O21" s="195">
        <f>ROUND(348.63, 0)</f>
        <v>349</v>
      </c>
      <c r="P21" s="183">
        <f t="shared" si="11"/>
        <v>0.81948424068767911</v>
      </c>
      <c r="Q21" s="195">
        <v>117</v>
      </c>
      <c r="R21" s="361">
        <v>140</v>
      </c>
      <c r="S21" s="192">
        <v>3516491</v>
      </c>
      <c r="T21" s="110">
        <f t="shared" si="15"/>
        <v>3516492</v>
      </c>
      <c r="U21" s="192">
        <v>2656474</v>
      </c>
      <c r="V21" s="192">
        <v>860018</v>
      </c>
      <c r="W21" s="185">
        <f t="shared" si="12"/>
        <v>0.2445670287320432</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row>
    <row r="22" spans="1:67" s="71" customFormat="1">
      <c r="A22" s="90">
        <v>2002</v>
      </c>
      <c r="B22" s="195">
        <v>18</v>
      </c>
      <c r="C22" s="195">
        <f>ROUND(1.25, 0)</f>
        <v>1</v>
      </c>
      <c r="D22" s="194">
        <f t="shared" si="16"/>
        <v>19</v>
      </c>
      <c r="E22" s="109">
        <f t="shared" si="13"/>
        <v>18</v>
      </c>
      <c r="F22" s="109">
        <f t="shared" si="14"/>
        <v>17</v>
      </c>
      <c r="G22" s="113"/>
      <c r="H22" s="113"/>
      <c r="I22" s="195">
        <v>95</v>
      </c>
      <c r="J22" s="195">
        <v>209</v>
      </c>
      <c r="K22" s="194">
        <f t="shared" si="17"/>
        <v>304</v>
      </c>
      <c r="L22" s="195">
        <f>ROUND(156.75, 0)</f>
        <v>157</v>
      </c>
      <c r="M22" s="109">
        <f t="shared" si="18"/>
        <v>252</v>
      </c>
      <c r="N22" s="195">
        <v>32</v>
      </c>
      <c r="O22" s="195">
        <f>ROUND(317.8, 0)</f>
        <v>318</v>
      </c>
      <c r="P22" s="183">
        <f t="shared" si="11"/>
        <v>0.79245283018867929</v>
      </c>
      <c r="Q22" s="195">
        <v>100</v>
      </c>
      <c r="R22" s="361">
        <v>58</v>
      </c>
      <c r="S22" s="192">
        <v>3035247</v>
      </c>
      <c r="T22" s="110">
        <f t="shared" si="15"/>
        <v>3035247</v>
      </c>
      <c r="U22" s="192">
        <v>2600548</v>
      </c>
      <c r="V22" s="192">
        <v>434699</v>
      </c>
      <c r="W22" s="185">
        <f t="shared" si="12"/>
        <v>0.14321701001598883</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row>
    <row r="23" spans="1:67" s="13" customFormat="1">
      <c r="A23" s="655" t="s">
        <v>161</v>
      </c>
      <c r="B23" s="667"/>
      <c r="C23" s="667"/>
      <c r="D23" s="667"/>
      <c r="E23" s="667"/>
      <c r="F23" s="667"/>
      <c r="G23" s="667"/>
      <c r="H23" s="667"/>
      <c r="I23" s="667"/>
      <c r="J23" s="667"/>
      <c r="K23" s="667"/>
      <c r="L23" s="667"/>
      <c r="M23" s="656"/>
      <c r="N23" s="656"/>
      <c r="O23" s="656"/>
      <c r="P23" s="656"/>
      <c r="Q23" s="656"/>
      <c r="R23" s="656"/>
      <c r="S23" s="656"/>
      <c r="T23" s="656"/>
      <c r="U23" s="656"/>
      <c r="V23" s="656"/>
      <c r="W23" s="65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row>
    <row r="24" spans="1:67" s="13" customFormat="1">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row>
    <row r="25" spans="1:67" s="13" customFormat="1">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row>
    <row r="26" spans="1:67" s="26" customFormat="1">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row>
    <row r="27" spans="1:67" s="26" customFormat="1">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row>
    <row r="28" spans="1:67" s="26" customFormat="1">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row>
  </sheetData>
  <mergeCells count="1">
    <mergeCell ref="A23:W23"/>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HL34"/>
  <sheetViews>
    <sheetView workbookViewId="0">
      <selection activeCell="J30" sqref="J30"/>
    </sheetView>
  </sheetViews>
  <sheetFormatPr defaultColWidth="8.85546875" defaultRowHeight="15"/>
  <cols>
    <col min="1" max="1" width="1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1.42578125" bestFit="1" customWidth="1"/>
    <col min="23" max="23" width="12.85546875" bestFit="1" customWidth="1"/>
  </cols>
  <sheetData>
    <row r="1" spans="1:220" s="8" customFormat="1" ht="18.75">
      <c r="A1" s="1" t="s">
        <v>71</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27</v>
      </c>
      <c r="C3" s="409">
        <v>22</v>
      </c>
      <c r="D3" s="410">
        <f>SUM(B3:C3)</f>
        <v>49</v>
      </c>
      <c r="E3" s="411">
        <f t="shared" ref="E3" si="0">ROUND((O3/B3), 0)</f>
        <v>60</v>
      </c>
      <c r="F3" s="411">
        <f t="shared" ref="F3" si="1">ROUND((O3/D3), 0)</f>
        <v>33</v>
      </c>
      <c r="G3" s="409">
        <v>27</v>
      </c>
      <c r="H3" s="409">
        <v>22</v>
      </c>
      <c r="I3" s="409">
        <v>878</v>
      </c>
      <c r="J3" s="409">
        <v>1602</v>
      </c>
      <c r="K3" s="410">
        <f t="shared" ref="K3" si="2">SUM(I3:J3)</f>
        <v>2480</v>
      </c>
      <c r="L3" s="409">
        <v>606</v>
      </c>
      <c r="M3" s="411">
        <f>(I3+L3)</f>
        <v>1484</v>
      </c>
      <c r="N3" s="409">
        <v>1130</v>
      </c>
      <c r="O3" s="409">
        <v>1615</v>
      </c>
      <c r="P3" s="413">
        <f t="shared" ref="P3" si="3">M3/O3</f>
        <v>0.91888544891640866</v>
      </c>
      <c r="Q3" s="409">
        <v>608</v>
      </c>
      <c r="R3" s="409">
        <v>45</v>
      </c>
      <c r="S3" s="414">
        <v>8562891</v>
      </c>
      <c r="T3" s="415">
        <f t="shared" ref="T3" si="4">SUM(U3:V3)</f>
        <v>11202046</v>
      </c>
      <c r="U3" s="414">
        <v>1554041</v>
      </c>
      <c r="V3" s="414">
        <v>9648005</v>
      </c>
      <c r="W3" s="335">
        <f t="shared" ref="W3" si="5">V3/T3</f>
        <v>0.86127168197666748</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28</v>
      </c>
      <c r="C4" s="409">
        <v>21</v>
      </c>
      <c r="D4" s="410">
        <f>SUM(B4:C4)</f>
        <v>49</v>
      </c>
      <c r="E4" s="411">
        <f>ROUND((O4/B4), 0)</f>
        <v>54</v>
      </c>
      <c r="F4" s="411">
        <f>ROUND((O4/D4), 0)</f>
        <v>31</v>
      </c>
      <c r="G4" s="409">
        <v>28</v>
      </c>
      <c r="H4" s="409">
        <v>21</v>
      </c>
      <c r="I4" s="409">
        <v>858</v>
      </c>
      <c r="J4" s="409">
        <v>1482</v>
      </c>
      <c r="K4" s="410">
        <f t="shared" ref="K4" si="6">SUM(I4:J4)</f>
        <v>2340</v>
      </c>
      <c r="L4" s="409">
        <v>568</v>
      </c>
      <c r="M4" s="411">
        <f>(I4+L4)</f>
        <v>1426</v>
      </c>
      <c r="N4" s="409">
        <v>997</v>
      </c>
      <c r="O4" s="409">
        <v>1512.5</v>
      </c>
      <c r="P4" s="413">
        <f t="shared" ref="P4" si="7">M4/O4</f>
        <v>0.9428099173553719</v>
      </c>
      <c r="Q4" s="409">
        <v>550</v>
      </c>
      <c r="R4" s="409">
        <v>26</v>
      </c>
      <c r="S4" s="414">
        <v>8385473</v>
      </c>
      <c r="T4" s="415">
        <f>SUM(U4:V4)</f>
        <v>9751677</v>
      </c>
      <c r="U4" s="414">
        <v>1422421</v>
      </c>
      <c r="V4" s="414">
        <v>8329256</v>
      </c>
      <c r="W4" s="335">
        <f t="shared" ref="W4" si="8">V4/T4</f>
        <v>0.85413575531675223</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26</v>
      </c>
      <c r="C5" s="409">
        <v>24.07</v>
      </c>
      <c r="D5" s="410">
        <f>SUM(B5:C5)</f>
        <v>50.07</v>
      </c>
      <c r="E5" s="411">
        <f>ROUND((O5/B5), 0)</f>
        <v>51</v>
      </c>
      <c r="F5" s="411">
        <f>ROUND((O5/D5), 0)</f>
        <v>27</v>
      </c>
      <c r="G5" s="409">
        <v>26</v>
      </c>
      <c r="H5" s="409">
        <v>24.07</v>
      </c>
      <c r="I5" s="409">
        <v>788</v>
      </c>
      <c r="J5" s="409">
        <v>1372</v>
      </c>
      <c r="K5" s="410">
        <f>SUM(I5:J5)</f>
        <v>2160</v>
      </c>
      <c r="L5" s="409">
        <v>514</v>
      </c>
      <c r="M5" s="411">
        <f>(I5+L5)</f>
        <v>1302</v>
      </c>
      <c r="N5" s="409">
        <v>936</v>
      </c>
      <c r="O5" s="409">
        <v>1330</v>
      </c>
      <c r="P5" s="413">
        <f>M5/O5</f>
        <v>0.97894736842105268</v>
      </c>
      <c r="Q5" s="409">
        <v>542</v>
      </c>
      <c r="R5" s="409">
        <v>24</v>
      </c>
      <c r="S5" s="414">
        <v>7558980</v>
      </c>
      <c r="T5" s="415">
        <f>SUM(U5:V5)</f>
        <v>12577766</v>
      </c>
      <c r="U5" s="414">
        <v>1281806</v>
      </c>
      <c r="V5" s="414">
        <v>11295960</v>
      </c>
      <c r="W5" s="335">
        <f>V5/T5</f>
        <v>0.89808953354673637</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27</v>
      </c>
      <c r="C6" s="20">
        <v>21.3</v>
      </c>
      <c r="D6" s="29">
        <f>SUM(B6:C6)</f>
        <v>48.3</v>
      </c>
      <c r="E6" s="172">
        <f>ROUND((O6/B6), 0)</f>
        <v>46</v>
      </c>
      <c r="F6" s="172">
        <f>ROUND((O6/D6), 0)</f>
        <v>25</v>
      </c>
      <c r="G6" s="20">
        <v>27</v>
      </c>
      <c r="H6" s="20">
        <v>21.3</v>
      </c>
      <c r="I6" s="20">
        <v>664</v>
      </c>
      <c r="J6" s="20">
        <v>1355</v>
      </c>
      <c r="K6" s="29">
        <f t="shared" ref="K6" si="9">SUM(I6:J6)</f>
        <v>2019</v>
      </c>
      <c r="L6" s="20">
        <v>514</v>
      </c>
      <c r="M6" s="172">
        <f>(I6+L6)</f>
        <v>1178</v>
      </c>
      <c r="N6" s="20">
        <v>807</v>
      </c>
      <c r="O6" s="20">
        <v>1230.5</v>
      </c>
      <c r="P6" s="183">
        <f>M6/O6</f>
        <v>0.95733441690369769</v>
      </c>
      <c r="Q6" s="20">
        <v>538</v>
      </c>
      <c r="R6" s="20">
        <v>28</v>
      </c>
      <c r="S6" s="24">
        <v>7274512</v>
      </c>
      <c r="T6" s="30">
        <f>SUM(U6:V6)</f>
        <v>10432824</v>
      </c>
      <c r="U6" s="24">
        <v>1248214</v>
      </c>
      <c r="V6" s="24">
        <v>9184610</v>
      </c>
      <c r="W6" s="185">
        <f>V6/T6</f>
        <v>0.88035703468207649</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24</v>
      </c>
      <c r="C7" s="20">
        <v>17.87</v>
      </c>
      <c r="D7" s="34">
        <f>SUM(B7:C7)</f>
        <v>41.870000000000005</v>
      </c>
      <c r="E7" s="34">
        <f>ROUND((O7/B7), 0)</f>
        <v>45</v>
      </c>
      <c r="F7" s="34">
        <f>ROUND((O7/D7), 0)</f>
        <v>26</v>
      </c>
      <c r="G7" s="20">
        <v>23</v>
      </c>
      <c r="H7" s="20">
        <v>17.87</v>
      </c>
      <c r="I7" s="20">
        <v>571</v>
      </c>
      <c r="J7" s="20">
        <v>1360</v>
      </c>
      <c r="K7" s="34">
        <f>SUM(I7:J7)</f>
        <v>1931</v>
      </c>
      <c r="L7" s="20">
        <v>517</v>
      </c>
      <c r="M7" s="36">
        <f>(I7+L7)</f>
        <v>1088</v>
      </c>
      <c r="N7" s="344">
        <v>757</v>
      </c>
      <c r="O7" s="344">
        <v>1088</v>
      </c>
      <c r="P7" s="183">
        <f t="shared" ref="P7:P22" si="10">M7/O7</f>
        <v>1</v>
      </c>
      <c r="Q7" s="20">
        <v>498</v>
      </c>
      <c r="R7" s="20">
        <v>36</v>
      </c>
      <c r="S7" s="300">
        <v>6647097</v>
      </c>
      <c r="T7" s="35">
        <f>SUM(U7:V7)</f>
        <v>7351994</v>
      </c>
      <c r="U7" s="341">
        <v>1103647</v>
      </c>
      <c r="V7" s="24">
        <v>6248347</v>
      </c>
      <c r="W7" s="185">
        <f t="shared" ref="W7:W22" si="11">V7/T7</f>
        <v>0.84988467074374652</v>
      </c>
    </row>
    <row r="8" spans="1:220" s="65" customFormat="1">
      <c r="A8" s="95">
        <v>2016</v>
      </c>
      <c r="B8" s="63">
        <v>25</v>
      </c>
      <c r="C8" s="63">
        <v>20.58</v>
      </c>
      <c r="D8" s="81">
        <f>B8+C8</f>
        <v>45.58</v>
      </c>
      <c r="E8" s="82">
        <f>ROUND((O8/B8), 0)</f>
        <v>45</v>
      </c>
      <c r="F8" s="82">
        <f>ROUND((O8/D8), 0)</f>
        <v>25</v>
      </c>
      <c r="G8" s="83">
        <v>24</v>
      </c>
      <c r="H8" s="83">
        <v>20.58</v>
      </c>
      <c r="I8" s="63">
        <v>543</v>
      </c>
      <c r="J8" s="63">
        <v>1422</v>
      </c>
      <c r="K8" s="81">
        <f>I8+J8</f>
        <v>1965</v>
      </c>
      <c r="L8" s="63">
        <v>534</v>
      </c>
      <c r="M8" s="82">
        <f>I8+L8</f>
        <v>1077</v>
      </c>
      <c r="N8" s="63">
        <v>715</v>
      </c>
      <c r="O8" s="63">
        <v>1123.4100000000001</v>
      </c>
      <c r="P8" s="183">
        <f t="shared" si="10"/>
        <v>0.95868827943493462</v>
      </c>
      <c r="Q8" s="63">
        <v>497</v>
      </c>
      <c r="R8" s="63">
        <v>35</v>
      </c>
      <c r="S8" s="102">
        <v>6277792</v>
      </c>
      <c r="T8" s="85">
        <f>SUM(U8:V8)</f>
        <v>7961852</v>
      </c>
      <c r="U8" s="102">
        <v>1067453</v>
      </c>
      <c r="V8" s="102">
        <v>6894399</v>
      </c>
      <c r="W8" s="185">
        <f t="shared" si="11"/>
        <v>0.86592905771169826</v>
      </c>
    </row>
    <row r="9" spans="1:220" s="105" customFormat="1">
      <c r="A9" s="267">
        <v>2015</v>
      </c>
      <c r="B9" s="91">
        <v>24</v>
      </c>
      <c r="C9" s="91">
        <v>16.63</v>
      </c>
      <c r="D9" s="81">
        <v>40.630000000000003</v>
      </c>
      <c r="E9" s="81">
        <v>45.3</v>
      </c>
      <c r="F9" s="81">
        <v>26.8</v>
      </c>
      <c r="G9" s="111"/>
      <c r="H9" s="111"/>
      <c r="I9" s="91">
        <v>556</v>
      </c>
      <c r="J9" s="91">
        <v>1301</v>
      </c>
      <c r="K9" s="81">
        <v>1857</v>
      </c>
      <c r="L9" s="91">
        <v>485</v>
      </c>
      <c r="M9" s="81">
        <v>1041</v>
      </c>
      <c r="N9" s="91">
        <v>655</v>
      </c>
      <c r="O9" s="91">
        <v>1087.33</v>
      </c>
      <c r="P9" s="183">
        <f t="shared" si="10"/>
        <v>0.95739104043850543</v>
      </c>
      <c r="Q9" s="91">
        <v>487</v>
      </c>
      <c r="R9" s="91">
        <v>24</v>
      </c>
      <c r="S9" s="102">
        <v>6956788</v>
      </c>
      <c r="T9" s="103">
        <v>6948077</v>
      </c>
      <c r="U9" s="102">
        <v>1115007</v>
      </c>
      <c r="V9" s="102">
        <v>5833070</v>
      </c>
      <c r="W9" s="185">
        <f t="shared" si="11"/>
        <v>0.83952293562664893</v>
      </c>
    </row>
    <row r="10" spans="1:220" s="105" customFormat="1">
      <c r="A10" s="90">
        <v>2014</v>
      </c>
      <c r="B10" s="91">
        <v>27</v>
      </c>
      <c r="C10" s="91">
        <v>26</v>
      </c>
      <c r="D10" s="81">
        <f>B10+C10</f>
        <v>53</v>
      </c>
      <c r="E10" s="82">
        <f t="shared" ref="E10:E22" si="12">ROUND((O10/B10), 0)</f>
        <v>40</v>
      </c>
      <c r="F10" s="82">
        <f t="shared" ref="F10:F22" si="13">ROUND((O10/D10), 0)</f>
        <v>20</v>
      </c>
      <c r="G10" s="111"/>
      <c r="H10" s="111"/>
      <c r="I10" s="91">
        <v>550</v>
      </c>
      <c r="J10" s="91">
        <v>1246</v>
      </c>
      <c r="K10" s="81">
        <f>I10+J10</f>
        <v>1796</v>
      </c>
      <c r="L10" s="91">
        <v>479</v>
      </c>
      <c r="M10" s="82">
        <f>I10+L10</f>
        <v>1029</v>
      </c>
      <c r="N10" s="91">
        <v>630</v>
      </c>
      <c r="O10" s="91">
        <v>1068</v>
      </c>
      <c r="P10" s="183">
        <f t="shared" si="10"/>
        <v>0.9634831460674157</v>
      </c>
      <c r="Q10" s="91">
        <v>560</v>
      </c>
      <c r="R10" s="91">
        <v>23</v>
      </c>
      <c r="S10" s="197">
        <v>7559565</v>
      </c>
      <c r="T10" s="85">
        <f t="shared" ref="T10:T22" si="14">SUM(U10:V10)</f>
        <v>7603985</v>
      </c>
      <c r="U10" s="92">
        <v>938614</v>
      </c>
      <c r="V10" s="92">
        <v>6665371</v>
      </c>
      <c r="W10" s="185">
        <f t="shared" si="11"/>
        <v>0.87656288117348991</v>
      </c>
    </row>
    <row r="11" spans="1:220" s="71" customFormat="1">
      <c r="A11" s="90">
        <v>2013</v>
      </c>
      <c r="B11" s="361">
        <v>28</v>
      </c>
      <c r="C11" s="361">
        <v>15.2</v>
      </c>
      <c r="D11" s="108">
        <f>B11+C11</f>
        <v>43.2</v>
      </c>
      <c r="E11" s="109">
        <f t="shared" si="12"/>
        <v>34</v>
      </c>
      <c r="F11" s="109">
        <f t="shared" si="13"/>
        <v>22</v>
      </c>
      <c r="G11" s="113"/>
      <c r="H11" s="113"/>
      <c r="I11" s="361">
        <v>275</v>
      </c>
      <c r="J11" s="361">
        <v>1525</v>
      </c>
      <c r="K11" s="108">
        <f>I11+J11</f>
        <v>1800</v>
      </c>
      <c r="L11" s="361">
        <v>641.5</v>
      </c>
      <c r="M11" s="109">
        <f>I11+L11</f>
        <v>916.5</v>
      </c>
      <c r="N11" s="361">
        <v>639</v>
      </c>
      <c r="O11" s="361">
        <v>949</v>
      </c>
      <c r="P11" s="183">
        <f t="shared" si="10"/>
        <v>0.96575342465753422</v>
      </c>
      <c r="Q11" s="361">
        <v>543</v>
      </c>
      <c r="R11" s="361">
        <v>8</v>
      </c>
      <c r="S11" s="192">
        <v>7416880.4400000004</v>
      </c>
      <c r="T11" s="110">
        <f t="shared" si="14"/>
        <v>7568392.9800000004</v>
      </c>
      <c r="U11" s="112">
        <v>955120</v>
      </c>
      <c r="V11" s="112">
        <v>6613272.9800000004</v>
      </c>
      <c r="W11" s="185">
        <f t="shared" si="11"/>
        <v>0.87380147905586159</v>
      </c>
    </row>
    <row r="12" spans="1:220" s="71" customFormat="1">
      <c r="A12" s="90">
        <v>2012</v>
      </c>
      <c r="B12" s="361">
        <v>28</v>
      </c>
      <c r="C12" s="361">
        <v>16.25</v>
      </c>
      <c r="D12" s="108">
        <f>B12+C12</f>
        <v>44.25</v>
      </c>
      <c r="E12" s="109">
        <f t="shared" si="12"/>
        <v>42</v>
      </c>
      <c r="F12" s="109">
        <f t="shared" si="13"/>
        <v>27</v>
      </c>
      <c r="G12" s="113"/>
      <c r="H12" s="113"/>
      <c r="I12" s="361">
        <v>634</v>
      </c>
      <c r="J12" s="361">
        <v>1352</v>
      </c>
      <c r="K12" s="108">
        <f>I12+J12</f>
        <v>1986</v>
      </c>
      <c r="L12" s="361">
        <v>529</v>
      </c>
      <c r="M12" s="109">
        <f>I12+L12</f>
        <v>1163</v>
      </c>
      <c r="N12" s="361">
        <v>508</v>
      </c>
      <c r="O12" s="361">
        <v>1182</v>
      </c>
      <c r="P12" s="183">
        <f t="shared" si="10"/>
        <v>0.9839255499153976</v>
      </c>
      <c r="Q12" s="361">
        <v>630</v>
      </c>
      <c r="R12" s="361">
        <v>5</v>
      </c>
      <c r="S12" s="192">
        <v>8068568</v>
      </c>
      <c r="T12" s="110">
        <f t="shared" si="14"/>
        <v>8079257</v>
      </c>
      <c r="U12" s="112">
        <v>994890</v>
      </c>
      <c r="V12" s="112">
        <v>7084367</v>
      </c>
      <c r="W12" s="185">
        <f t="shared" si="11"/>
        <v>0.87685872599423442</v>
      </c>
    </row>
    <row r="13" spans="1:220" s="71" customFormat="1">
      <c r="A13" s="90">
        <v>2011</v>
      </c>
      <c r="B13" s="361">
        <v>24</v>
      </c>
      <c r="C13" s="361">
        <v>12.4</v>
      </c>
      <c r="D13" s="108">
        <f t="shared" ref="D13:D22" si="15">SUM(B13:C13)</f>
        <v>36.4</v>
      </c>
      <c r="E13" s="109">
        <f t="shared" si="12"/>
        <v>53</v>
      </c>
      <c r="F13" s="109">
        <f t="shared" si="13"/>
        <v>35</v>
      </c>
      <c r="G13" s="113"/>
      <c r="H13" s="113"/>
      <c r="I13" s="361">
        <v>680</v>
      </c>
      <c r="J13" s="361">
        <v>1455</v>
      </c>
      <c r="K13" s="108">
        <f t="shared" ref="K13:K22" si="16">SUM(I13:J13)</f>
        <v>2135</v>
      </c>
      <c r="L13" s="361">
        <v>573</v>
      </c>
      <c r="M13" s="109">
        <f t="shared" ref="M13:M20" si="17">(I13+L13)</f>
        <v>1253</v>
      </c>
      <c r="N13" s="361">
        <v>663</v>
      </c>
      <c r="O13" s="361">
        <v>1266.5</v>
      </c>
      <c r="P13" s="183">
        <f t="shared" si="10"/>
        <v>0.98934070272404262</v>
      </c>
      <c r="Q13" s="361">
        <v>663</v>
      </c>
      <c r="R13" s="361">
        <v>0</v>
      </c>
      <c r="S13" s="192">
        <v>9037170</v>
      </c>
      <c r="T13" s="110">
        <f t="shared" si="14"/>
        <v>11085423</v>
      </c>
      <c r="U13" s="112">
        <v>1029426</v>
      </c>
      <c r="V13" s="112">
        <v>10055997</v>
      </c>
      <c r="W13" s="185">
        <f t="shared" si="11"/>
        <v>0.90713696716850589</v>
      </c>
    </row>
    <row r="14" spans="1:220" s="71" customFormat="1">
      <c r="A14" s="90">
        <v>2010</v>
      </c>
      <c r="B14" s="361">
        <v>24.5</v>
      </c>
      <c r="C14" s="361">
        <v>17.5</v>
      </c>
      <c r="D14" s="108">
        <f t="shared" si="15"/>
        <v>42</v>
      </c>
      <c r="E14" s="109">
        <f t="shared" si="12"/>
        <v>54</v>
      </c>
      <c r="F14" s="109">
        <f t="shared" si="13"/>
        <v>31</v>
      </c>
      <c r="G14" s="113"/>
      <c r="H14" s="113"/>
      <c r="I14" s="361">
        <v>695</v>
      </c>
      <c r="J14" s="361">
        <v>1532</v>
      </c>
      <c r="K14" s="108">
        <f t="shared" si="16"/>
        <v>2227</v>
      </c>
      <c r="L14" s="361">
        <v>612</v>
      </c>
      <c r="M14" s="109">
        <f t="shared" si="17"/>
        <v>1307</v>
      </c>
      <c r="N14" s="361">
        <v>674</v>
      </c>
      <c r="O14" s="361">
        <v>1320.5</v>
      </c>
      <c r="P14" s="183">
        <f t="shared" si="10"/>
        <v>0.98977659977281329</v>
      </c>
      <c r="Q14" s="361">
        <v>493</v>
      </c>
      <c r="R14" s="361">
        <v>0</v>
      </c>
      <c r="S14" s="192">
        <v>8216193</v>
      </c>
      <c r="T14" s="110">
        <f t="shared" si="14"/>
        <v>11614039.48</v>
      </c>
      <c r="U14" s="112">
        <v>2269364</v>
      </c>
      <c r="V14" s="112">
        <v>9344675.4800000004</v>
      </c>
      <c r="W14" s="185">
        <f t="shared" si="11"/>
        <v>0.80460166302103875</v>
      </c>
    </row>
    <row r="15" spans="1:220" s="71" customFormat="1">
      <c r="A15" s="90">
        <v>2009</v>
      </c>
      <c r="B15" s="361">
        <v>24</v>
      </c>
      <c r="C15" s="361">
        <v>30.8</v>
      </c>
      <c r="D15" s="108">
        <f t="shared" si="15"/>
        <v>54.8</v>
      </c>
      <c r="E15" s="109">
        <f t="shared" si="12"/>
        <v>50</v>
      </c>
      <c r="F15" s="109">
        <f t="shared" si="13"/>
        <v>22</v>
      </c>
      <c r="G15" s="113"/>
      <c r="H15" s="113"/>
      <c r="I15" s="361">
        <v>579</v>
      </c>
      <c r="J15" s="361">
        <v>1734</v>
      </c>
      <c r="K15" s="108">
        <f t="shared" si="16"/>
        <v>2313</v>
      </c>
      <c r="L15" s="361">
        <v>611</v>
      </c>
      <c r="M15" s="109">
        <f t="shared" si="17"/>
        <v>1190</v>
      </c>
      <c r="N15" s="361">
        <v>645</v>
      </c>
      <c r="O15" s="361">
        <v>1198.5</v>
      </c>
      <c r="P15" s="183">
        <f t="shared" si="10"/>
        <v>0.99290780141843971</v>
      </c>
      <c r="Q15" s="361">
        <v>442</v>
      </c>
      <c r="R15" s="361">
        <v>0</v>
      </c>
      <c r="S15" s="192">
        <v>6725299</v>
      </c>
      <c r="T15" s="110">
        <f t="shared" si="14"/>
        <v>9475610</v>
      </c>
      <c r="U15" s="112">
        <v>2352939</v>
      </c>
      <c r="V15" s="112">
        <v>7122671</v>
      </c>
      <c r="W15" s="185">
        <f t="shared" si="11"/>
        <v>0.75168469365032964</v>
      </c>
    </row>
    <row r="16" spans="1:220" s="71" customFormat="1">
      <c r="A16" s="90">
        <v>2008</v>
      </c>
      <c r="B16" s="361">
        <v>19</v>
      </c>
      <c r="C16" s="361">
        <v>40.6</v>
      </c>
      <c r="D16" s="108">
        <f t="shared" si="15"/>
        <v>59.6</v>
      </c>
      <c r="E16" s="109">
        <f t="shared" si="12"/>
        <v>65</v>
      </c>
      <c r="F16" s="109">
        <f t="shared" si="13"/>
        <v>21</v>
      </c>
      <c r="G16" s="113"/>
      <c r="H16" s="113"/>
      <c r="I16" s="361">
        <v>684</v>
      </c>
      <c r="J16" s="361">
        <v>1298</v>
      </c>
      <c r="K16" s="108">
        <f t="shared" si="16"/>
        <v>1982</v>
      </c>
      <c r="L16" s="361">
        <v>541.25</v>
      </c>
      <c r="M16" s="109">
        <f t="shared" si="17"/>
        <v>1225.25</v>
      </c>
      <c r="N16" s="361">
        <v>488</v>
      </c>
      <c r="O16" s="361">
        <v>1227</v>
      </c>
      <c r="P16" s="183">
        <f t="shared" si="10"/>
        <v>0.99857375713121432</v>
      </c>
      <c r="Q16" s="361">
        <v>443</v>
      </c>
      <c r="R16" s="361">
        <v>0</v>
      </c>
      <c r="S16" s="192">
        <v>4599625</v>
      </c>
      <c r="T16" s="110">
        <f t="shared" si="14"/>
        <v>7254857.0099999998</v>
      </c>
      <c r="U16" s="112">
        <v>2806664</v>
      </c>
      <c r="V16" s="112">
        <v>4448193.01</v>
      </c>
      <c r="W16" s="185">
        <f t="shared" si="11"/>
        <v>0.61313310570679325</v>
      </c>
    </row>
    <row r="17" spans="1:52" s="71" customFormat="1">
      <c r="A17" s="90">
        <v>2007</v>
      </c>
      <c r="B17" s="361">
        <v>19</v>
      </c>
      <c r="C17" s="361">
        <v>31.4</v>
      </c>
      <c r="D17" s="109">
        <f t="shared" si="15"/>
        <v>50.4</v>
      </c>
      <c r="E17" s="109">
        <f t="shared" si="12"/>
        <v>37</v>
      </c>
      <c r="F17" s="109">
        <f t="shared" si="13"/>
        <v>14</v>
      </c>
      <c r="G17" s="113"/>
      <c r="H17" s="113"/>
      <c r="I17" s="361">
        <v>397</v>
      </c>
      <c r="J17" s="361">
        <v>1206</v>
      </c>
      <c r="K17" s="194">
        <f t="shared" si="16"/>
        <v>1603</v>
      </c>
      <c r="L17" s="361">
        <v>301.5</v>
      </c>
      <c r="M17" s="109">
        <f t="shared" si="17"/>
        <v>698.5</v>
      </c>
      <c r="N17" s="361">
        <v>433</v>
      </c>
      <c r="O17" s="361">
        <v>699</v>
      </c>
      <c r="P17" s="183">
        <f t="shared" si="10"/>
        <v>0.99928469241773965</v>
      </c>
      <c r="Q17" s="361">
        <v>463</v>
      </c>
      <c r="R17" s="361">
        <v>0</v>
      </c>
      <c r="S17" s="192">
        <v>5613963</v>
      </c>
      <c r="T17" s="110">
        <f t="shared" si="14"/>
        <v>5870472.3300000001</v>
      </c>
      <c r="U17" s="250">
        <v>2664589</v>
      </c>
      <c r="V17" s="250">
        <v>3205883.33</v>
      </c>
      <c r="W17" s="185">
        <f t="shared" si="11"/>
        <v>0.54610313272697086</v>
      </c>
    </row>
    <row r="18" spans="1:52" s="71" customFormat="1">
      <c r="A18" s="90">
        <v>2006</v>
      </c>
      <c r="B18" s="361">
        <v>17</v>
      </c>
      <c r="C18" s="361">
        <v>14</v>
      </c>
      <c r="D18" s="109">
        <f t="shared" si="15"/>
        <v>31</v>
      </c>
      <c r="E18" s="109">
        <f t="shared" si="12"/>
        <v>37</v>
      </c>
      <c r="F18" s="109">
        <f t="shared" si="13"/>
        <v>20</v>
      </c>
      <c r="G18" s="113"/>
      <c r="H18" s="113"/>
      <c r="I18" s="361">
        <v>394</v>
      </c>
      <c r="J18" s="361">
        <v>1193</v>
      </c>
      <c r="K18" s="194">
        <f t="shared" si="16"/>
        <v>1587</v>
      </c>
      <c r="L18" s="361">
        <v>239</v>
      </c>
      <c r="M18" s="109">
        <f t="shared" si="17"/>
        <v>633</v>
      </c>
      <c r="N18" s="361">
        <v>306</v>
      </c>
      <c r="O18" s="361">
        <v>633</v>
      </c>
      <c r="P18" s="183">
        <f t="shared" si="10"/>
        <v>1</v>
      </c>
      <c r="Q18" s="361">
        <v>334</v>
      </c>
      <c r="R18" s="361">
        <v>0</v>
      </c>
      <c r="S18" s="192">
        <v>4250270</v>
      </c>
      <c r="T18" s="110">
        <f t="shared" si="14"/>
        <v>4893830</v>
      </c>
      <c r="U18" s="192">
        <v>2180523</v>
      </c>
      <c r="V18" s="192">
        <v>2713307</v>
      </c>
      <c r="W18" s="185">
        <f t="shared" si="11"/>
        <v>0.55443425701342297</v>
      </c>
    </row>
    <row r="19" spans="1:52" s="71" customFormat="1">
      <c r="A19" s="90">
        <v>2005</v>
      </c>
      <c r="B19" s="361">
        <v>15</v>
      </c>
      <c r="C19" s="361">
        <v>14</v>
      </c>
      <c r="D19" s="109">
        <f t="shared" si="15"/>
        <v>29</v>
      </c>
      <c r="E19" s="109">
        <f t="shared" si="12"/>
        <v>38</v>
      </c>
      <c r="F19" s="109">
        <f t="shared" si="13"/>
        <v>20</v>
      </c>
      <c r="G19" s="113"/>
      <c r="H19" s="113"/>
      <c r="I19" s="361">
        <v>365</v>
      </c>
      <c r="J19" s="361">
        <v>1057</v>
      </c>
      <c r="K19" s="194">
        <f t="shared" si="16"/>
        <v>1422</v>
      </c>
      <c r="L19" s="361">
        <v>211</v>
      </c>
      <c r="M19" s="109">
        <f t="shared" si="17"/>
        <v>576</v>
      </c>
      <c r="N19" s="361">
        <v>290</v>
      </c>
      <c r="O19" s="361">
        <v>576</v>
      </c>
      <c r="P19" s="183">
        <f t="shared" si="10"/>
        <v>1</v>
      </c>
      <c r="Q19" s="361">
        <v>316</v>
      </c>
      <c r="R19" s="361">
        <v>0</v>
      </c>
      <c r="S19" s="192">
        <v>3104328</v>
      </c>
      <c r="T19" s="110">
        <f t="shared" si="14"/>
        <v>3869247</v>
      </c>
      <c r="U19" s="192">
        <v>1716417</v>
      </c>
      <c r="V19" s="192">
        <v>2152830</v>
      </c>
      <c r="W19" s="185">
        <f t="shared" si="11"/>
        <v>0.55639508152361428</v>
      </c>
    </row>
    <row r="20" spans="1:52" s="71" customFormat="1">
      <c r="A20" s="90">
        <v>2004</v>
      </c>
      <c r="B20" s="195">
        <v>14</v>
      </c>
      <c r="C20" s="195">
        <v>9</v>
      </c>
      <c r="D20" s="109">
        <f t="shared" si="15"/>
        <v>23</v>
      </c>
      <c r="E20" s="109">
        <f t="shared" si="12"/>
        <v>44</v>
      </c>
      <c r="F20" s="109">
        <f t="shared" si="13"/>
        <v>27</v>
      </c>
      <c r="G20" s="113"/>
      <c r="H20" s="113"/>
      <c r="I20" s="195">
        <v>270</v>
      </c>
      <c r="J20" s="195">
        <v>1106</v>
      </c>
      <c r="K20" s="194">
        <f t="shared" si="16"/>
        <v>1376</v>
      </c>
      <c r="L20" s="195">
        <v>345.8</v>
      </c>
      <c r="M20" s="109">
        <f t="shared" si="17"/>
        <v>615.79999999999995</v>
      </c>
      <c r="N20" s="195">
        <v>295</v>
      </c>
      <c r="O20" s="195">
        <v>616</v>
      </c>
      <c r="P20" s="183">
        <f t="shared" si="10"/>
        <v>0.99967532467532461</v>
      </c>
      <c r="Q20" s="195">
        <v>272</v>
      </c>
      <c r="R20" s="361">
        <v>0</v>
      </c>
      <c r="S20" s="192">
        <v>2901830.55</v>
      </c>
      <c r="T20" s="110">
        <f t="shared" si="14"/>
        <v>3421554.65</v>
      </c>
      <c r="U20" s="192">
        <v>1655048.42</v>
      </c>
      <c r="V20" s="192">
        <v>1766506.23</v>
      </c>
      <c r="W20" s="185">
        <f t="shared" si="11"/>
        <v>0.51628759751068132</v>
      </c>
    </row>
    <row r="21" spans="1:52" s="71" customFormat="1">
      <c r="A21" s="90">
        <v>2003</v>
      </c>
      <c r="B21" s="195">
        <v>14</v>
      </c>
      <c r="C21" s="195"/>
      <c r="D21" s="194">
        <f t="shared" si="15"/>
        <v>14</v>
      </c>
      <c r="E21" s="109">
        <f t="shared" si="12"/>
        <v>31</v>
      </c>
      <c r="F21" s="109">
        <f t="shared" si="13"/>
        <v>31</v>
      </c>
      <c r="G21" s="113"/>
      <c r="H21" s="113"/>
      <c r="I21" s="195">
        <v>677</v>
      </c>
      <c r="J21" s="195">
        <v>1511</v>
      </c>
      <c r="K21" s="194">
        <f t="shared" si="16"/>
        <v>2188</v>
      </c>
      <c r="L21" s="195">
        <v>302</v>
      </c>
      <c r="M21" s="109">
        <v>438</v>
      </c>
      <c r="N21" s="195">
        <v>260</v>
      </c>
      <c r="O21" s="195">
        <v>438</v>
      </c>
      <c r="P21" s="183">
        <f t="shared" si="10"/>
        <v>1</v>
      </c>
      <c r="Q21" s="195">
        <v>205</v>
      </c>
      <c r="R21" s="361">
        <v>0</v>
      </c>
      <c r="S21" s="192">
        <v>2709473</v>
      </c>
      <c r="T21" s="110">
        <f t="shared" si="14"/>
        <v>4894198</v>
      </c>
      <c r="U21" s="192">
        <v>1727300</v>
      </c>
      <c r="V21" s="192">
        <v>3166898</v>
      </c>
      <c r="W21" s="185">
        <f t="shared" si="11"/>
        <v>0.64707190023779182</v>
      </c>
    </row>
    <row r="22" spans="1:52" s="71" customFormat="1">
      <c r="A22" s="90">
        <v>2002</v>
      </c>
      <c r="B22" s="195">
        <v>12</v>
      </c>
      <c r="C22" s="195">
        <f>ROUND(7.6, 0)</f>
        <v>8</v>
      </c>
      <c r="D22" s="194">
        <f t="shared" si="15"/>
        <v>20</v>
      </c>
      <c r="E22" s="109">
        <f t="shared" si="12"/>
        <v>40</v>
      </c>
      <c r="F22" s="109">
        <f t="shared" si="13"/>
        <v>24</v>
      </c>
      <c r="G22" s="113"/>
      <c r="H22" s="113"/>
      <c r="I22" s="195">
        <v>211</v>
      </c>
      <c r="J22" s="195">
        <v>863</v>
      </c>
      <c r="K22" s="194">
        <f t="shared" si="16"/>
        <v>1074</v>
      </c>
      <c r="L22" s="195">
        <v>264</v>
      </c>
      <c r="M22" s="109">
        <f>(I22+L22)</f>
        <v>475</v>
      </c>
      <c r="N22" s="195">
        <v>223</v>
      </c>
      <c r="O22" s="195">
        <v>475</v>
      </c>
      <c r="P22" s="183">
        <f t="shared" si="10"/>
        <v>1</v>
      </c>
      <c r="Q22" s="195">
        <v>97</v>
      </c>
      <c r="R22" s="361">
        <v>0</v>
      </c>
      <c r="S22" s="192">
        <v>1909523</v>
      </c>
      <c r="T22" s="110">
        <f t="shared" si="14"/>
        <v>2248777</v>
      </c>
      <c r="U22" s="192">
        <v>1032836</v>
      </c>
      <c r="V22" s="192">
        <v>1215941</v>
      </c>
      <c r="W22" s="185">
        <f t="shared" si="11"/>
        <v>0.54071212930406176</v>
      </c>
    </row>
    <row r="23" spans="1:52" s="71" customFormat="1">
      <c r="A23" s="653" t="s">
        <v>102</v>
      </c>
      <c r="B23" s="653"/>
      <c r="C23" s="653"/>
      <c r="D23" s="653"/>
      <c r="E23" s="653"/>
      <c r="F23" s="653"/>
      <c r="G23" s="653"/>
      <c r="H23" s="653"/>
      <c r="I23" s="653"/>
      <c r="J23" s="653"/>
      <c r="K23" s="653"/>
      <c r="L23" s="653"/>
      <c r="M23" s="653"/>
      <c r="N23" s="653"/>
      <c r="O23" s="653"/>
      <c r="P23" s="653"/>
      <c r="Q23" s="653"/>
      <c r="R23" s="653"/>
      <c r="S23" s="653"/>
      <c r="T23" s="653"/>
      <c r="U23" s="653"/>
      <c r="V23" s="653"/>
      <c r="W23" s="653"/>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row>
    <row r="24" spans="1:52" s="13" customFormat="1">
      <c r="G24" s="26"/>
      <c r="H24" s="26"/>
    </row>
    <row r="25" spans="1:52" s="13" customFormat="1">
      <c r="G25" s="26"/>
      <c r="H25" s="26"/>
    </row>
    <row r="26" spans="1:52" s="13" customFormat="1">
      <c r="G26" s="26"/>
      <c r="H26" s="26"/>
    </row>
    <row r="27" spans="1:52" s="13" customFormat="1">
      <c r="G27" s="26"/>
      <c r="H27" s="26"/>
    </row>
    <row r="28" spans="1:52" s="13" customFormat="1">
      <c r="G28" s="26"/>
      <c r="H28" s="26"/>
    </row>
    <row r="29" spans="1:52" s="13" customFormat="1">
      <c r="G29" s="26"/>
      <c r="H29" s="26"/>
    </row>
    <row r="30" spans="1:52" s="14" customFormat="1">
      <c r="G30"/>
      <c r="H30"/>
    </row>
    <row r="31" spans="1:52" s="14" customFormat="1">
      <c r="G31"/>
      <c r="H31"/>
    </row>
    <row r="32" spans="1:52" s="14" customFormat="1">
      <c r="G32"/>
      <c r="H32"/>
    </row>
    <row r="33" spans="7:8" s="14" customFormat="1">
      <c r="G33"/>
      <c r="H33"/>
    </row>
    <row r="34" spans="7:8" s="14" customFormat="1">
      <c r="G34"/>
      <c r="H34"/>
    </row>
  </sheetData>
  <mergeCells count="1">
    <mergeCell ref="A23:W23"/>
  </mergeCells>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IX34"/>
  <sheetViews>
    <sheetView workbookViewId="0">
      <selection activeCell="F31" sqref="F31"/>
    </sheetView>
  </sheetViews>
  <sheetFormatPr defaultColWidth="8.7109375" defaultRowHeight="15"/>
  <cols>
    <col min="1" max="1" width="10.42578125" customWidth="1"/>
    <col min="2" max="2" width="10.28515625" bestFit="1" customWidth="1"/>
    <col min="3" max="3" width="8.42578125" bestFit="1" customWidth="1"/>
    <col min="4" max="4" width="9.28515625" bestFit="1" customWidth="1"/>
    <col min="5" max="5" width="12.28515625" bestFit="1" customWidth="1"/>
    <col min="6" max="6" width="11.42578125" bestFit="1" customWidth="1"/>
    <col min="7" max="8" width="12.28515625" customWidth="1"/>
    <col min="10" max="11" width="11.7109375" bestFit="1" customWidth="1"/>
    <col min="12" max="12" width="12.28515625" bestFit="1" customWidth="1"/>
    <col min="13" max="14" width="13.28515625" bestFit="1" customWidth="1"/>
    <col min="15" max="15" width="13.42578125" bestFit="1" customWidth="1"/>
    <col min="16" max="16" width="14.28515625" customWidth="1"/>
    <col min="17" max="17" width="12.42578125" bestFit="1" customWidth="1"/>
    <col min="18" max="18" width="9" bestFit="1" customWidth="1"/>
    <col min="19" max="19" width="11.7109375" bestFit="1" customWidth="1"/>
    <col min="20" max="20" width="12.7109375" bestFit="1" customWidth="1"/>
    <col min="21" max="21" width="10.42578125" bestFit="1" customWidth="1"/>
    <col min="22" max="22" width="10.7109375" bestFit="1" customWidth="1"/>
    <col min="23" max="23" width="12.7109375" bestFit="1" customWidth="1"/>
  </cols>
  <sheetData>
    <row r="1" spans="1:220" s="8" customFormat="1" ht="18.75">
      <c r="A1" s="1" t="s">
        <v>52</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16" customFormat="1">
      <c r="A3" s="6">
        <v>2021</v>
      </c>
      <c r="B3" s="562">
        <v>25</v>
      </c>
      <c r="C3" s="562">
        <v>6</v>
      </c>
      <c r="D3" s="410">
        <f>SUM(B3:C3)</f>
        <v>31</v>
      </c>
      <c r="E3" s="411">
        <f t="shared" ref="E3" si="0">ROUND((O3/B3), 0)</f>
        <v>23</v>
      </c>
      <c r="F3" s="411">
        <f t="shared" ref="F3" si="1">ROUND((O3/D3), 0)</f>
        <v>19</v>
      </c>
      <c r="G3" s="562">
        <v>25</v>
      </c>
      <c r="H3" s="562">
        <v>6</v>
      </c>
      <c r="I3" s="562">
        <v>315</v>
      </c>
      <c r="J3" s="562">
        <v>435</v>
      </c>
      <c r="K3" s="448">
        <f t="shared" ref="K3" si="2">SUM(I3:J3)</f>
        <v>750</v>
      </c>
      <c r="L3" s="562">
        <v>253</v>
      </c>
      <c r="M3" s="448">
        <f t="shared" ref="M3" si="3">(I3+L3)</f>
        <v>568</v>
      </c>
      <c r="N3" s="562">
        <v>78</v>
      </c>
      <c r="O3" s="562">
        <v>578</v>
      </c>
      <c r="P3" s="413">
        <f t="shared" ref="P3" si="4">M3/O3</f>
        <v>0.98269896193771622</v>
      </c>
      <c r="Q3" s="562">
        <v>265</v>
      </c>
      <c r="R3" s="562">
        <v>19</v>
      </c>
      <c r="S3" s="565">
        <v>3397714</v>
      </c>
      <c r="T3" s="415">
        <f t="shared" ref="T3" si="5">SUM(U3:V3)</f>
        <v>3649686</v>
      </c>
      <c r="U3" s="565">
        <v>3386725</v>
      </c>
      <c r="V3" s="565">
        <v>262961</v>
      </c>
      <c r="W3" s="335">
        <f t="shared" ref="W3" si="6">V3/T3</f>
        <v>7.2050307889500634E-2</v>
      </c>
    </row>
    <row r="4" spans="1:220" s="432" customFormat="1">
      <c r="A4" s="417">
        <v>2020</v>
      </c>
      <c r="B4" s="560">
        <v>25</v>
      </c>
      <c r="C4" s="560">
        <v>3</v>
      </c>
      <c r="D4" s="29">
        <f>SUM(B4:C4)</f>
        <v>28</v>
      </c>
      <c r="E4" s="172">
        <f>ROUND((O4/B4), 0)</f>
        <v>23</v>
      </c>
      <c r="F4" s="172">
        <f>ROUND((O4/D4), 0)</f>
        <v>21</v>
      </c>
      <c r="G4" s="560">
        <v>25</v>
      </c>
      <c r="H4" s="560">
        <v>3</v>
      </c>
      <c r="I4" s="560">
        <v>316</v>
      </c>
      <c r="J4" s="560">
        <v>401</v>
      </c>
      <c r="K4" s="429">
        <v>717</v>
      </c>
      <c r="L4" s="560">
        <v>229</v>
      </c>
      <c r="M4" s="429">
        <v>556</v>
      </c>
      <c r="N4" s="560">
        <v>81</v>
      </c>
      <c r="O4" s="560">
        <v>578</v>
      </c>
      <c r="P4" s="183">
        <f t="shared" ref="P4" si="7">M4/O4</f>
        <v>0.96193771626297575</v>
      </c>
      <c r="Q4" s="560">
        <v>274</v>
      </c>
      <c r="R4" s="560">
        <v>9</v>
      </c>
      <c r="S4" s="561">
        <v>3716124</v>
      </c>
      <c r="T4" s="30">
        <f>SUM(U4:V4)</f>
        <v>4557892</v>
      </c>
      <c r="U4" s="561">
        <f>-559236+4557892</f>
        <v>3998656</v>
      </c>
      <c r="V4" s="561">
        <v>559236</v>
      </c>
      <c r="W4" s="335">
        <f t="shared" ref="W4" si="8">V4/T4</f>
        <v>0.12269619376676762</v>
      </c>
    </row>
    <row r="5" spans="1:220" s="17" customFormat="1">
      <c r="A5" s="11">
        <v>2019</v>
      </c>
      <c r="B5" s="20">
        <v>23</v>
      </c>
      <c r="C5" s="20">
        <v>4</v>
      </c>
      <c r="D5" s="410">
        <f>SUM(B5:C5)</f>
        <v>27</v>
      </c>
      <c r="E5" s="411">
        <f>ROUND((O5/B5), 0)</f>
        <v>24</v>
      </c>
      <c r="F5" s="411">
        <f>ROUND((O5/D5), 0)</f>
        <v>21</v>
      </c>
      <c r="G5" s="20">
        <v>23</v>
      </c>
      <c r="H5" s="20">
        <v>4</v>
      </c>
      <c r="I5" s="20">
        <v>297</v>
      </c>
      <c r="J5" s="20">
        <v>391</v>
      </c>
      <c r="K5" s="410">
        <f t="shared" ref="K5" si="9">SUM(I5:J5)</f>
        <v>688</v>
      </c>
      <c r="L5" s="20">
        <v>230</v>
      </c>
      <c r="M5" s="411">
        <f>(I5+L5)</f>
        <v>527</v>
      </c>
      <c r="N5" s="20">
        <v>86</v>
      </c>
      <c r="O5" s="20">
        <v>563</v>
      </c>
      <c r="P5" s="413">
        <f t="shared" ref="P5" si="10">M5/O5</f>
        <v>0.93605683836589693</v>
      </c>
      <c r="Q5" s="20">
        <v>262</v>
      </c>
      <c r="R5" s="20">
        <v>17</v>
      </c>
      <c r="S5" s="24">
        <v>4822194.1399999997</v>
      </c>
      <c r="T5" s="415">
        <f>SUM(U5:V5)</f>
        <v>5300633.9499999993</v>
      </c>
      <c r="U5" s="24">
        <v>4628821.68</v>
      </c>
      <c r="V5" s="24">
        <v>671812.27</v>
      </c>
      <c r="W5" s="335">
        <f t="shared" ref="W5" si="11">V5/T5</f>
        <v>0.12674187207362245</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25</v>
      </c>
      <c r="C6" s="20">
        <v>7</v>
      </c>
      <c r="D6" s="29">
        <f>SUM(B6:C6)</f>
        <v>32</v>
      </c>
      <c r="E6" s="172">
        <f>ROUND((O6/B6), 0)</f>
        <v>24</v>
      </c>
      <c r="F6" s="172">
        <f>ROUND((O6/D6), 0)</f>
        <v>18</v>
      </c>
      <c r="G6" s="20">
        <v>25</v>
      </c>
      <c r="H6" s="20">
        <v>7</v>
      </c>
      <c r="I6" s="20">
        <v>330</v>
      </c>
      <c r="J6" s="20">
        <v>407</v>
      </c>
      <c r="K6" s="29">
        <f>SUM(I6:J6)</f>
        <v>737</v>
      </c>
      <c r="L6" s="20">
        <v>220</v>
      </c>
      <c r="M6" s="172">
        <f>(I6+L6)</f>
        <v>550</v>
      </c>
      <c r="N6" s="20">
        <v>98</v>
      </c>
      <c r="O6" s="20">
        <v>589</v>
      </c>
      <c r="P6" s="183">
        <f>M6/O6</f>
        <v>0.93378607809847203</v>
      </c>
      <c r="Q6" s="20">
        <v>298</v>
      </c>
      <c r="R6" s="20">
        <v>55</v>
      </c>
      <c r="S6" s="24">
        <v>8331805</v>
      </c>
      <c r="T6" s="30">
        <f>SUM(U6:V6)</f>
        <v>7863557</v>
      </c>
      <c r="U6" s="24">
        <v>5702428</v>
      </c>
      <c r="V6" s="24">
        <v>2161129</v>
      </c>
      <c r="W6" s="185">
        <f>V6/T6</f>
        <v>0.27482842688111753</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24</v>
      </c>
      <c r="C7" s="20">
        <v>7</v>
      </c>
      <c r="D7" s="34">
        <f>SUM(B7:C7)</f>
        <v>31</v>
      </c>
      <c r="E7" s="34">
        <f>ROUND((O7/B7), 0)</f>
        <v>27</v>
      </c>
      <c r="F7" s="34">
        <f>ROUND((O7/D7), 0)</f>
        <v>21</v>
      </c>
      <c r="G7" s="20">
        <v>24</v>
      </c>
      <c r="H7" s="20">
        <v>7</v>
      </c>
      <c r="I7" s="20">
        <v>324</v>
      </c>
      <c r="J7" s="20">
        <v>424</v>
      </c>
      <c r="K7" s="34">
        <f>SUM(I7:J7)</f>
        <v>748</v>
      </c>
      <c r="L7" s="20">
        <v>253</v>
      </c>
      <c r="M7" s="36">
        <f>(I7+L7)</f>
        <v>577</v>
      </c>
      <c r="N7" s="344">
        <v>78</v>
      </c>
      <c r="O7" s="344">
        <v>652</v>
      </c>
      <c r="P7" s="183">
        <f t="shared" ref="P7:P22" si="12">M7/O7</f>
        <v>0.88496932515337423</v>
      </c>
      <c r="Q7" s="20">
        <v>270</v>
      </c>
      <c r="R7" s="20">
        <v>27</v>
      </c>
      <c r="S7" s="300">
        <v>8375703</v>
      </c>
      <c r="T7" s="35">
        <f>SUM(U7:V7)</f>
        <v>9184066</v>
      </c>
      <c r="U7" s="341">
        <v>5260061</v>
      </c>
      <c r="V7" s="24">
        <v>3924005</v>
      </c>
      <c r="W7" s="185">
        <f t="shared" ref="W7:W22" si="13">V7/T7</f>
        <v>0.427262282305027</v>
      </c>
    </row>
    <row r="8" spans="1:220" s="65" customFormat="1">
      <c r="A8" s="95">
        <v>2016</v>
      </c>
      <c r="B8" s="63">
        <v>27</v>
      </c>
      <c r="C8" s="63">
        <v>6.25</v>
      </c>
      <c r="D8" s="81">
        <f>B8+C8</f>
        <v>33.25</v>
      </c>
      <c r="E8" s="82">
        <f>ROUND((O8/B8), 0)</f>
        <v>24</v>
      </c>
      <c r="F8" s="82">
        <f>ROUND((O8/D8), 0)</f>
        <v>20</v>
      </c>
      <c r="G8" s="63">
        <v>22</v>
      </c>
      <c r="H8" s="63">
        <v>4.5</v>
      </c>
      <c r="I8" s="63">
        <v>240</v>
      </c>
      <c r="J8" s="63">
        <v>402</v>
      </c>
      <c r="K8" s="81">
        <f>I8+J8</f>
        <v>642</v>
      </c>
      <c r="L8" s="63">
        <v>242</v>
      </c>
      <c r="M8" s="82">
        <f>I8+L8</f>
        <v>482</v>
      </c>
      <c r="N8" s="63">
        <v>73</v>
      </c>
      <c r="O8" s="63">
        <v>656</v>
      </c>
      <c r="P8" s="183">
        <f t="shared" si="12"/>
        <v>0.7347560975609756</v>
      </c>
      <c r="Q8" s="63">
        <v>268</v>
      </c>
      <c r="R8" s="63">
        <v>48</v>
      </c>
      <c r="S8" s="69">
        <v>8244849</v>
      </c>
      <c r="T8" s="85">
        <f>SUM(U8:V8)</f>
        <v>8862383</v>
      </c>
      <c r="U8" s="69">
        <v>5022766</v>
      </c>
      <c r="V8" s="69">
        <v>3839617</v>
      </c>
      <c r="W8" s="185">
        <f t="shared" si="13"/>
        <v>0.43324882257966058</v>
      </c>
    </row>
    <row r="9" spans="1:220" s="105" customFormat="1">
      <c r="A9" s="267">
        <v>2015</v>
      </c>
      <c r="B9" s="91">
        <v>25</v>
      </c>
      <c r="C9" s="91">
        <v>4.33</v>
      </c>
      <c r="D9" s="81">
        <v>23.33</v>
      </c>
      <c r="E9" s="81">
        <v>33.4</v>
      </c>
      <c r="F9" s="81">
        <v>27.2</v>
      </c>
      <c r="G9" s="111"/>
      <c r="H9" s="111"/>
      <c r="I9" s="91">
        <v>285</v>
      </c>
      <c r="J9" s="91">
        <v>403</v>
      </c>
      <c r="K9" s="81">
        <v>688</v>
      </c>
      <c r="L9" s="91">
        <v>244</v>
      </c>
      <c r="M9" s="81">
        <v>529</v>
      </c>
      <c r="N9" s="91">
        <v>93</v>
      </c>
      <c r="O9" s="91">
        <v>635</v>
      </c>
      <c r="P9" s="183">
        <f t="shared" si="12"/>
        <v>0.83307086614173231</v>
      </c>
      <c r="Q9" s="91">
        <v>230</v>
      </c>
      <c r="R9" s="91">
        <v>47</v>
      </c>
      <c r="S9" s="102">
        <v>7316277</v>
      </c>
      <c r="T9" s="103">
        <v>7330764</v>
      </c>
      <c r="U9" s="102">
        <v>4908338</v>
      </c>
      <c r="V9" s="102">
        <v>2422426</v>
      </c>
      <c r="W9" s="185">
        <f t="shared" si="13"/>
        <v>0.33044659465234455</v>
      </c>
    </row>
    <row r="10" spans="1:220" s="105" customFormat="1">
      <c r="A10" s="90">
        <v>2014</v>
      </c>
      <c r="B10" s="91">
        <v>25</v>
      </c>
      <c r="C10" s="91">
        <v>4.92</v>
      </c>
      <c r="D10" s="81">
        <f>B10+C10</f>
        <v>29.92</v>
      </c>
      <c r="E10" s="82">
        <f t="shared" ref="E10:E22" si="14">ROUND((O10/B10), 0)</f>
        <v>21</v>
      </c>
      <c r="F10" s="82">
        <f t="shared" ref="F10:F22" si="15">ROUND((O10/D10), 0)</f>
        <v>17</v>
      </c>
      <c r="G10" s="111"/>
      <c r="H10" s="111"/>
      <c r="I10" s="91">
        <v>39</v>
      </c>
      <c r="J10" s="91">
        <v>633</v>
      </c>
      <c r="K10" s="81">
        <f>I10+J10</f>
        <v>672</v>
      </c>
      <c r="L10" s="91">
        <v>387.1</v>
      </c>
      <c r="M10" s="82">
        <f>I10+L10</f>
        <v>426.1</v>
      </c>
      <c r="N10" s="91">
        <v>79</v>
      </c>
      <c r="O10" s="91">
        <v>514</v>
      </c>
      <c r="P10" s="183">
        <f t="shared" si="12"/>
        <v>0.82898832684824908</v>
      </c>
      <c r="Q10" s="91">
        <v>232</v>
      </c>
      <c r="R10" s="91">
        <v>63</v>
      </c>
      <c r="S10" s="92">
        <v>6696947</v>
      </c>
      <c r="T10" s="85">
        <f t="shared" ref="T10:T22" si="16">SUM(U10:V10)</f>
        <v>6717907</v>
      </c>
      <c r="U10" s="92">
        <v>5052689</v>
      </c>
      <c r="V10" s="92">
        <v>1665218</v>
      </c>
      <c r="W10" s="185">
        <f t="shared" si="13"/>
        <v>0.24787750113242116</v>
      </c>
    </row>
    <row r="11" spans="1:220" s="71" customFormat="1">
      <c r="A11" s="90">
        <v>2013</v>
      </c>
      <c r="B11" s="361">
        <v>26</v>
      </c>
      <c r="C11" s="361">
        <v>4.92</v>
      </c>
      <c r="D11" s="108">
        <f>B11+C11</f>
        <v>30.92</v>
      </c>
      <c r="E11" s="109">
        <f t="shared" si="14"/>
        <v>18</v>
      </c>
      <c r="F11" s="109">
        <f t="shared" si="15"/>
        <v>16</v>
      </c>
      <c r="G11" s="113"/>
      <c r="H11" s="113"/>
      <c r="I11" s="361">
        <v>39</v>
      </c>
      <c r="J11" s="361">
        <v>570</v>
      </c>
      <c r="K11" s="108">
        <f>I11+J11</f>
        <v>609</v>
      </c>
      <c r="L11" s="361">
        <v>346.7</v>
      </c>
      <c r="M11" s="109">
        <f>I11+L11</f>
        <v>385.7</v>
      </c>
      <c r="N11" s="361">
        <v>37</v>
      </c>
      <c r="O11" s="361">
        <v>480</v>
      </c>
      <c r="P11" s="183">
        <f t="shared" si="12"/>
        <v>0.8035416666666666</v>
      </c>
      <c r="Q11" s="361">
        <v>293</v>
      </c>
      <c r="R11" s="361">
        <v>3</v>
      </c>
      <c r="S11" s="112">
        <v>6383783</v>
      </c>
      <c r="T11" s="110">
        <f t="shared" si="16"/>
        <v>6297104</v>
      </c>
      <c r="U11" s="112">
        <v>4627186</v>
      </c>
      <c r="V11" s="112">
        <v>1669918</v>
      </c>
      <c r="W11" s="185">
        <f t="shared" si="13"/>
        <v>0.2651882516153457</v>
      </c>
    </row>
    <row r="12" spans="1:220" s="71" customFormat="1">
      <c r="A12" s="90">
        <v>2012</v>
      </c>
      <c r="B12" s="361">
        <v>24</v>
      </c>
      <c r="C12" s="361">
        <v>6.5</v>
      </c>
      <c r="D12" s="108">
        <f>B12+C12</f>
        <v>30.5</v>
      </c>
      <c r="E12" s="109">
        <f t="shared" si="14"/>
        <v>18</v>
      </c>
      <c r="F12" s="109">
        <f t="shared" si="15"/>
        <v>14</v>
      </c>
      <c r="G12" s="113"/>
      <c r="H12" s="113"/>
      <c r="I12" s="361">
        <v>49</v>
      </c>
      <c r="J12" s="361">
        <v>581</v>
      </c>
      <c r="K12" s="108">
        <f>I12+J12</f>
        <v>630</v>
      </c>
      <c r="L12" s="361">
        <v>364.8</v>
      </c>
      <c r="M12" s="109">
        <f>I12+L12</f>
        <v>413.8</v>
      </c>
      <c r="N12" s="361">
        <v>45</v>
      </c>
      <c r="O12" s="361">
        <v>439.70000000000005</v>
      </c>
      <c r="P12" s="183">
        <f t="shared" si="12"/>
        <v>0.94109620195587895</v>
      </c>
      <c r="Q12" s="361">
        <v>202</v>
      </c>
      <c r="R12" s="361">
        <v>3</v>
      </c>
      <c r="S12" s="112">
        <v>6356329</v>
      </c>
      <c r="T12" s="110">
        <f t="shared" si="16"/>
        <v>6359653</v>
      </c>
      <c r="U12" s="112">
        <v>4571692</v>
      </c>
      <c r="V12" s="112">
        <v>1787961</v>
      </c>
      <c r="W12" s="185">
        <f t="shared" si="13"/>
        <v>0.28114128239386643</v>
      </c>
    </row>
    <row r="13" spans="1:220" s="71" customFormat="1">
      <c r="A13" s="90" t="s">
        <v>81</v>
      </c>
      <c r="B13" s="361">
        <v>23</v>
      </c>
      <c r="C13" s="361">
        <v>4.3</v>
      </c>
      <c r="D13" s="108">
        <f t="shared" ref="D13:D22" si="17">SUM(B13:C13)</f>
        <v>27.3</v>
      </c>
      <c r="E13" s="109">
        <f t="shared" si="14"/>
        <v>25</v>
      </c>
      <c r="F13" s="109">
        <f t="shared" si="15"/>
        <v>21</v>
      </c>
      <c r="G13" s="113"/>
      <c r="H13" s="113"/>
      <c r="I13" s="361">
        <v>66</v>
      </c>
      <c r="J13" s="361">
        <v>663</v>
      </c>
      <c r="K13" s="108">
        <f>SUM(I13:J13)</f>
        <v>729</v>
      </c>
      <c r="L13" s="361">
        <v>495.2</v>
      </c>
      <c r="M13" s="109">
        <f>(I13+L13)</f>
        <v>561.20000000000005</v>
      </c>
      <c r="N13" s="361">
        <v>60</v>
      </c>
      <c r="O13" s="361">
        <v>581.9</v>
      </c>
      <c r="P13" s="183">
        <f t="shared" si="12"/>
        <v>0.96442687747035583</v>
      </c>
      <c r="Q13" s="361">
        <v>327</v>
      </c>
      <c r="R13" s="361">
        <v>3</v>
      </c>
      <c r="S13" s="112">
        <v>5964604</v>
      </c>
      <c r="T13" s="110">
        <f t="shared" si="16"/>
        <v>6126253</v>
      </c>
      <c r="U13" s="112">
        <v>4438311</v>
      </c>
      <c r="V13" s="112">
        <v>1687942</v>
      </c>
      <c r="W13" s="185">
        <f t="shared" si="13"/>
        <v>0.27552600259897853</v>
      </c>
    </row>
    <row r="14" spans="1:220" s="71" customFormat="1">
      <c r="A14" s="90" t="s">
        <v>82</v>
      </c>
      <c r="B14" s="361">
        <v>23</v>
      </c>
      <c r="C14" s="361">
        <v>4.66</v>
      </c>
      <c r="D14" s="108">
        <f t="shared" si="17"/>
        <v>27.66</v>
      </c>
      <c r="E14" s="109">
        <f t="shared" si="14"/>
        <v>25</v>
      </c>
      <c r="F14" s="109">
        <f t="shared" si="15"/>
        <v>20</v>
      </c>
      <c r="G14" s="113"/>
      <c r="H14" s="113"/>
      <c r="I14" s="361">
        <v>84</v>
      </c>
      <c r="J14" s="361">
        <v>712</v>
      </c>
      <c r="K14" s="108">
        <f>SUM(I14:J14)</f>
        <v>796</v>
      </c>
      <c r="L14" s="361">
        <v>469</v>
      </c>
      <c r="M14" s="109">
        <f>(I14+L14)</f>
        <v>553</v>
      </c>
      <c r="N14" s="361">
        <v>36</v>
      </c>
      <c r="O14" s="361">
        <v>566.4</v>
      </c>
      <c r="P14" s="183">
        <f t="shared" si="12"/>
        <v>0.97634180790960456</v>
      </c>
      <c r="Q14" s="361">
        <v>277</v>
      </c>
      <c r="R14" s="361">
        <v>1</v>
      </c>
      <c r="S14" s="112">
        <v>6039498.9329949999</v>
      </c>
      <c r="T14" s="110">
        <f t="shared" si="16"/>
        <v>5169279</v>
      </c>
      <c r="U14" s="112">
        <v>4452788</v>
      </c>
      <c r="V14" s="112">
        <v>716491</v>
      </c>
      <c r="W14" s="185">
        <f t="shared" si="13"/>
        <v>0.13860559664123373</v>
      </c>
    </row>
    <row r="15" spans="1:220" s="71" customFormat="1">
      <c r="A15" s="90" t="s">
        <v>83</v>
      </c>
      <c r="B15" s="361">
        <v>25</v>
      </c>
      <c r="C15" s="361">
        <v>6.2</v>
      </c>
      <c r="D15" s="108">
        <f t="shared" si="17"/>
        <v>31.2</v>
      </c>
      <c r="E15" s="109">
        <f t="shared" si="14"/>
        <v>22</v>
      </c>
      <c r="F15" s="109">
        <f t="shared" si="15"/>
        <v>17</v>
      </c>
      <c r="G15" s="113"/>
      <c r="H15" s="113"/>
      <c r="I15" s="361">
        <v>286</v>
      </c>
      <c r="J15" s="361">
        <v>470</v>
      </c>
      <c r="K15" s="108">
        <f>SUM(I15:J15)</f>
        <v>756</v>
      </c>
      <c r="L15" s="361">
        <v>246.57</v>
      </c>
      <c r="M15" s="109">
        <f>(I15+L15)</f>
        <v>532.56999999999994</v>
      </c>
      <c r="N15" s="361">
        <v>66</v>
      </c>
      <c r="O15" s="361">
        <v>545.62</v>
      </c>
      <c r="P15" s="183">
        <f t="shared" si="12"/>
        <v>0.97608225504930157</v>
      </c>
      <c r="Q15" s="361">
        <v>243</v>
      </c>
      <c r="R15" s="361">
        <v>10</v>
      </c>
      <c r="S15" s="112">
        <v>5702568</v>
      </c>
      <c r="T15" s="110">
        <f t="shared" si="16"/>
        <v>4877921</v>
      </c>
      <c r="U15" s="112">
        <v>4418651</v>
      </c>
      <c r="V15" s="112">
        <v>459270</v>
      </c>
      <c r="W15" s="185">
        <f t="shared" si="13"/>
        <v>9.4152816333023845E-2</v>
      </c>
    </row>
    <row r="16" spans="1:220" s="71" customFormat="1">
      <c r="A16" s="90" t="s">
        <v>84</v>
      </c>
      <c r="B16" s="361">
        <v>23</v>
      </c>
      <c r="C16" s="361">
        <v>5.9</v>
      </c>
      <c r="D16" s="108">
        <f t="shared" si="17"/>
        <v>28.9</v>
      </c>
      <c r="E16" s="109">
        <f t="shared" si="14"/>
        <v>17</v>
      </c>
      <c r="F16" s="109">
        <f t="shared" si="15"/>
        <v>13</v>
      </c>
      <c r="G16" s="113"/>
      <c r="H16" s="113"/>
      <c r="I16" s="361">
        <v>202</v>
      </c>
      <c r="J16" s="361">
        <v>492</v>
      </c>
      <c r="K16" s="108">
        <f>SUM(I16:J16)</f>
        <v>694</v>
      </c>
      <c r="L16" s="361">
        <v>164</v>
      </c>
      <c r="M16" s="109">
        <f>(I16+L16)</f>
        <v>366</v>
      </c>
      <c r="N16" s="361">
        <v>46</v>
      </c>
      <c r="O16" s="361">
        <v>380.67</v>
      </c>
      <c r="P16" s="183">
        <f t="shared" si="12"/>
        <v>0.96146268421467407</v>
      </c>
      <c r="Q16" s="361">
        <v>283</v>
      </c>
      <c r="R16" s="361">
        <v>1</v>
      </c>
      <c r="S16" s="112">
        <v>6610529</v>
      </c>
      <c r="T16" s="110">
        <f t="shared" si="16"/>
        <v>5549526</v>
      </c>
      <c r="U16" s="112">
        <v>4195514</v>
      </c>
      <c r="V16" s="112">
        <v>1354012</v>
      </c>
      <c r="W16" s="185">
        <f t="shared" si="13"/>
        <v>0.24398696393169433</v>
      </c>
    </row>
    <row r="17" spans="1:258" s="71" customFormat="1">
      <c r="A17" s="90">
        <v>2007</v>
      </c>
      <c r="B17" s="361">
        <v>19</v>
      </c>
      <c r="C17" s="361">
        <v>5.8</v>
      </c>
      <c r="D17" s="194">
        <f t="shared" si="17"/>
        <v>24.8</v>
      </c>
      <c r="E17" s="109">
        <f t="shared" si="14"/>
        <v>12</v>
      </c>
      <c r="F17" s="109">
        <f t="shared" si="15"/>
        <v>10</v>
      </c>
      <c r="G17" s="113"/>
      <c r="H17" s="113"/>
      <c r="I17" s="361">
        <v>39</v>
      </c>
      <c r="J17" s="361">
        <v>650</v>
      </c>
      <c r="K17" s="108">
        <v>689</v>
      </c>
      <c r="L17" s="361">
        <v>217</v>
      </c>
      <c r="M17" s="108">
        <v>229</v>
      </c>
      <c r="N17" s="361">
        <v>43</v>
      </c>
      <c r="O17" s="361">
        <v>236</v>
      </c>
      <c r="P17" s="183">
        <f t="shared" si="12"/>
        <v>0.97033898305084743</v>
      </c>
      <c r="Q17" s="361">
        <v>213</v>
      </c>
      <c r="R17" s="361">
        <v>1</v>
      </c>
      <c r="S17" s="192">
        <v>6098479</v>
      </c>
      <c r="T17" s="110">
        <f t="shared" si="16"/>
        <v>5124670</v>
      </c>
      <c r="U17" s="192">
        <v>3994133</v>
      </c>
      <c r="V17" s="192">
        <v>1130537</v>
      </c>
      <c r="W17" s="185">
        <f t="shared" si="13"/>
        <v>0.22060679029088703</v>
      </c>
    </row>
    <row r="18" spans="1:258" s="71" customFormat="1">
      <c r="A18" s="90">
        <v>2006</v>
      </c>
      <c r="B18" s="361">
        <v>20</v>
      </c>
      <c r="C18" s="361">
        <v>8</v>
      </c>
      <c r="D18" s="194">
        <f t="shared" si="17"/>
        <v>28</v>
      </c>
      <c r="E18" s="109">
        <f t="shared" si="14"/>
        <v>18</v>
      </c>
      <c r="F18" s="109">
        <f t="shared" si="15"/>
        <v>13</v>
      </c>
      <c r="G18" s="113"/>
      <c r="H18" s="113"/>
      <c r="I18" s="361">
        <v>215</v>
      </c>
      <c r="J18" s="361">
        <v>398</v>
      </c>
      <c r="K18" s="194">
        <f>SUM(I18:J18)</f>
        <v>613</v>
      </c>
      <c r="L18" s="361">
        <v>133</v>
      </c>
      <c r="M18" s="109">
        <f>(I18+L18)</f>
        <v>348</v>
      </c>
      <c r="N18" s="361">
        <v>34</v>
      </c>
      <c r="O18" s="361">
        <v>352</v>
      </c>
      <c r="P18" s="183">
        <f t="shared" si="12"/>
        <v>0.98863636363636365</v>
      </c>
      <c r="Q18" s="361">
        <v>301</v>
      </c>
      <c r="R18" s="361">
        <v>1</v>
      </c>
      <c r="S18" s="192">
        <v>6088175</v>
      </c>
      <c r="T18" s="110">
        <f t="shared" si="16"/>
        <v>5164893</v>
      </c>
      <c r="U18" s="192">
        <v>4066903</v>
      </c>
      <c r="V18" s="192">
        <v>1097990</v>
      </c>
      <c r="W18" s="185">
        <f t="shared" si="13"/>
        <v>0.21258717266746863</v>
      </c>
    </row>
    <row r="19" spans="1:258" s="71" customFormat="1">
      <c r="A19" s="90">
        <v>2005</v>
      </c>
      <c r="B19" s="361">
        <v>23</v>
      </c>
      <c r="C19" s="361">
        <v>5</v>
      </c>
      <c r="D19" s="194">
        <f t="shared" si="17"/>
        <v>28</v>
      </c>
      <c r="E19" s="109">
        <f t="shared" si="14"/>
        <v>15</v>
      </c>
      <c r="F19" s="109">
        <f t="shared" si="15"/>
        <v>12</v>
      </c>
      <c r="G19" s="113"/>
      <c r="H19" s="113"/>
      <c r="I19" s="361">
        <v>174</v>
      </c>
      <c r="J19" s="361">
        <v>487</v>
      </c>
      <c r="K19" s="194">
        <f>SUM(I19:J19)</f>
        <v>661</v>
      </c>
      <c r="L19" s="361">
        <v>162</v>
      </c>
      <c r="M19" s="109">
        <f>(I19+L19)</f>
        <v>336</v>
      </c>
      <c r="N19" s="361">
        <v>29</v>
      </c>
      <c r="O19" s="361">
        <v>339</v>
      </c>
      <c r="P19" s="183">
        <f t="shared" si="12"/>
        <v>0.99115044247787609</v>
      </c>
      <c r="Q19" s="361">
        <v>299</v>
      </c>
      <c r="R19" s="361">
        <v>2</v>
      </c>
      <c r="S19" s="192">
        <v>5188021</v>
      </c>
      <c r="T19" s="110">
        <f t="shared" si="16"/>
        <v>4127038</v>
      </c>
      <c r="U19" s="192">
        <v>3676766</v>
      </c>
      <c r="V19" s="192">
        <v>450272</v>
      </c>
      <c r="W19" s="185">
        <f t="shared" si="13"/>
        <v>0.10910294501771003</v>
      </c>
    </row>
    <row r="20" spans="1:258" s="71" customFormat="1">
      <c r="A20" s="90">
        <v>2004</v>
      </c>
      <c r="B20" s="195">
        <v>20</v>
      </c>
      <c r="C20" s="195">
        <v>9</v>
      </c>
      <c r="D20" s="194">
        <f t="shared" si="17"/>
        <v>29</v>
      </c>
      <c r="E20" s="109">
        <f t="shared" si="14"/>
        <v>11</v>
      </c>
      <c r="F20" s="109">
        <f t="shared" si="15"/>
        <v>8</v>
      </c>
      <c r="G20" s="113"/>
      <c r="H20" s="113"/>
      <c r="I20" s="195">
        <v>177</v>
      </c>
      <c r="J20" s="195">
        <v>472</v>
      </c>
      <c r="K20" s="194">
        <f>SUM(I20:J20)</f>
        <v>649</v>
      </c>
      <c r="L20" s="195">
        <v>157</v>
      </c>
      <c r="M20" s="109">
        <f>(I20+L20)</f>
        <v>334</v>
      </c>
      <c r="N20" s="195">
        <v>27</v>
      </c>
      <c r="O20" s="195">
        <v>222</v>
      </c>
      <c r="P20" s="183">
        <f t="shared" si="12"/>
        <v>1.5045045045045045</v>
      </c>
      <c r="Q20" s="195">
        <v>289</v>
      </c>
      <c r="R20" s="361">
        <v>2</v>
      </c>
      <c r="S20" s="192">
        <v>4675937</v>
      </c>
      <c r="T20" s="110">
        <f t="shared" si="16"/>
        <v>3607003</v>
      </c>
      <c r="U20" s="192">
        <v>3389165</v>
      </c>
      <c r="V20" s="192">
        <v>217838</v>
      </c>
      <c r="W20" s="185">
        <f t="shared" si="13"/>
        <v>6.0393074250284791E-2</v>
      </c>
    </row>
    <row r="21" spans="1:258" s="71" customFormat="1">
      <c r="A21" s="90">
        <v>2003</v>
      </c>
      <c r="B21" s="195">
        <v>18</v>
      </c>
      <c r="C21" s="195">
        <v>7</v>
      </c>
      <c r="D21" s="194">
        <f t="shared" si="17"/>
        <v>25</v>
      </c>
      <c r="E21" s="109">
        <f t="shared" si="14"/>
        <v>17</v>
      </c>
      <c r="F21" s="109">
        <f t="shared" si="15"/>
        <v>12</v>
      </c>
      <c r="G21" s="113"/>
      <c r="H21" s="113"/>
      <c r="I21" s="195">
        <v>138</v>
      </c>
      <c r="J21" s="195">
        <v>508</v>
      </c>
      <c r="K21" s="194">
        <f>SUM(I21:J21)</f>
        <v>646</v>
      </c>
      <c r="L21" s="195">
        <v>169</v>
      </c>
      <c r="M21" s="109">
        <v>226</v>
      </c>
      <c r="N21" s="195">
        <v>34</v>
      </c>
      <c r="O21" s="195">
        <v>307</v>
      </c>
      <c r="P21" s="183">
        <f t="shared" si="12"/>
        <v>0.73615635179153094</v>
      </c>
      <c r="Q21" s="195">
        <v>230</v>
      </c>
      <c r="R21" s="361">
        <v>0</v>
      </c>
      <c r="S21" s="192">
        <v>4374402</v>
      </c>
      <c r="T21" s="110">
        <f t="shared" si="16"/>
        <v>3151887</v>
      </c>
      <c r="U21" s="192">
        <v>3086696</v>
      </c>
      <c r="V21" s="192">
        <v>65191</v>
      </c>
      <c r="W21" s="185">
        <f t="shared" si="13"/>
        <v>2.0683165354595516E-2</v>
      </c>
    </row>
    <row r="22" spans="1:258" s="71" customFormat="1">
      <c r="A22" s="99">
        <v>2002</v>
      </c>
      <c r="B22" s="260">
        <v>13</v>
      </c>
      <c r="C22" s="260">
        <v>5</v>
      </c>
      <c r="D22" s="261">
        <f t="shared" si="17"/>
        <v>18</v>
      </c>
      <c r="E22" s="262">
        <f t="shared" si="14"/>
        <v>19</v>
      </c>
      <c r="F22" s="262">
        <f t="shared" si="15"/>
        <v>13</v>
      </c>
      <c r="G22" s="113"/>
      <c r="H22" s="113"/>
      <c r="I22" s="260">
        <v>94</v>
      </c>
      <c r="J22" s="260">
        <v>434</v>
      </c>
      <c r="K22" s="261">
        <f>SUM(I22:J22)</f>
        <v>528</v>
      </c>
      <c r="L22" s="260">
        <f>ROUND(144.66, 0)</f>
        <v>145</v>
      </c>
      <c r="M22" s="262">
        <f>(I22+L22)</f>
        <v>239</v>
      </c>
      <c r="N22" s="260">
        <v>28</v>
      </c>
      <c r="O22" s="260">
        <f>ROUND(240.66, 0)</f>
        <v>241</v>
      </c>
      <c r="P22" s="183">
        <f t="shared" si="12"/>
        <v>0.99170124481327804</v>
      </c>
      <c r="Q22" s="260">
        <v>214</v>
      </c>
      <c r="R22" s="264">
        <v>2</v>
      </c>
      <c r="S22" s="265">
        <v>4045622</v>
      </c>
      <c r="T22" s="266">
        <f t="shared" si="16"/>
        <v>4045622</v>
      </c>
      <c r="U22" s="265">
        <v>2745021</v>
      </c>
      <c r="V22" s="265">
        <v>1300601</v>
      </c>
      <c r="W22" s="185">
        <f t="shared" si="13"/>
        <v>0.32148356915203646</v>
      </c>
    </row>
    <row r="23" spans="1:258" s="79" customFormat="1" ht="14.45" customHeight="1">
      <c r="A23" s="666" t="s">
        <v>162</v>
      </c>
      <c r="B23" s="673"/>
      <c r="C23" s="673"/>
      <c r="D23" s="673"/>
      <c r="E23" s="673"/>
      <c r="F23" s="673"/>
      <c r="G23" s="673"/>
      <c r="H23" s="673"/>
      <c r="I23" s="673"/>
      <c r="J23" s="673"/>
      <c r="K23" s="673"/>
      <c r="L23" s="673"/>
      <c r="M23" s="673"/>
      <c r="N23" s="673"/>
      <c r="O23" s="673"/>
      <c r="P23" s="673"/>
      <c r="Q23" s="673"/>
      <c r="R23" s="673"/>
      <c r="S23" s="673"/>
      <c r="T23" s="673"/>
      <c r="U23" s="673"/>
      <c r="V23" s="673"/>
      <c r="W23" s="673"/>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c r="IR23" s="305"/>
      <c r="IS23" s="305"/>
      <c r="IT23" s="305"/>
      <c r="IU23" s="305"/>
      <c r="IV23" s="305"/>
      <c r="IW23" s="305"/>
      <c r="IX23" s="305"/>
    </row>
    <row r="24" spans="1:258" s="13" customFormat="1">
      <c r="A24" s="706" t="s">
        <v>148</v>
      </c>
      <c r="B24" s="707"/>
      <c r="C24" s="707"/>
      <c r="D24" s="707"/>
      <c r="E24" s="707"/>
      <c r="F24" s="707"/>
      <c r="G24" s="707"/>
      <c r="H24" s="707"/>
      <c r="I24" s="707"/>
      <c r="J24" s="707"/>
      <c r="K24" s="707"/>
      <c r="L24" s="707"/>
      <c r="M24" s="707"/>
      <c r="N24" s="707"/>
      <c r="O24" s="707"/>
      <c r="P24" s="707"/>
      <c r="Q24" s="707"/>
      <c r="R24" s="707"/>
      <c r="S24" s="707"/>
      <c r="T24" s="707"/>
      <c r="U24" s="707"/>
      <c r="V24" s="707"/>
      <c r="W24" s="707"/>
    </row>
    <row r="25" spans="1:258" s="396" customFormat="1">
      <c r="A25" s="672" t="s">
        <v>176</v>
      </c>
      <c r="B25" s="658"/>
      <c r="C25" s="658"/>
      <c r="D25" s="658"/>
      <c r="E25" s="658"/>
      <c r="F25" s="658"/>
      <c r="G25" s="658"/>
      <c r="H25" s="658"/>
      <c r="I25" s="658"/>
      <c r="J25" s="658"/>
      <c r="K25" s="658"/>
      <c r="L25" s="658"/>
      <c r="M25" s="658"/>
      <c r="N25" s="658"/>
      <c r="O25" s="658"/>
      <c r="P25" s="658"/>
      <c r="Q25" s="658"/>
      <c r="R25" s="658"/>
      <c r="S25" s="658"/>
      <c r="T25" s="658"/>
      <c r="U25" s="658"/>
      <c r="V25" s="658"/>
      <c r="W25" s="658"/>
    </row>
    <row r="26" spans="1:258" s="14" customFormat="1">
      <c r="A26" s="498" t="s">
        <v>196</v>
      </c>
      <c r="B26" s="499" t="s">
        <v>197</v>
      </c>
      <c r="C26" s="499"/>
      <c r="D26" s="499"/>
      <c r="E26" s="499"/>
      <c r="F26" s="499"/>
      <c r="G26" s="499"/>
      <c r="H26" s="499"/>
      <c r="I26" s="499"/>
      <c r="J26" s="499"/>
      <c r="K26" s="499"/>
      <c r="L26" s="499"/>
      <c r="M26" s="499"/>
      <c r="N26" s="499"/>
      <c r="O26" s="499"/>
      <c r="P26" s="499"/>
      <c r="Q26" s="499"/>
      <c r="R26" s="499"/>
      <c r="S26" s="499"/>
      <c r="T26" s="499"/>
      <c r="U26" s="499"/>
      <c r="V26" s="499"/>
      <c r="W26" s="500"/>
    </row>
    <row r="27" spans="1:258" s="14" customFormat="1"/>
    <row r="28" spans="1:258" s="14" customFormat="1"/>
    <row r="29" spans="1:258" s="14" customFormat="1"/>
    <row r="30" spans="1:258" s="14" customFormat="1"/>
    <row r="31" spans="1:258" s="14" customFormat="1"/>
    <row r="32" spans="1:258" s="14" customFormat="1"/>
    <row r="33" s="14" customFormat="1"/>
    <row r="34" s="14" customFormat="1"/>
  </sheetData>
  <mergeCells count="3">
    <mergeCell ref="A23:W23"/>
    <mergeCell ref="A24:W24"/>
    <mergeCell ref="A25:W25"/>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HL33"/>
  <sheetViews>
    <sheetView workbookViewId="0">
      <selection activeCell="E32" sqref="E32"/>
    </sheetView>
  </sheetViews>
  <sheetFormatPr defaultColWidth="8.85546875" defaultRowHeight="15"/>
  <cols>
    <col min="1" max="1" width="11.140625" customWidth="1"/>
    <col min="2" max="2" width="10.28515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9" bestFit="1" customWidth="1"/>
    <col min="10" max="11" width="12" bestFit="1" customWidth="1"/>
    <col min="12" max="12" width="12.42578125" bestFit="1" customWidth="1"/>
    <col min="13" max="13" width="12.85546875" customWidth="1"/>
    <col min="14" max="14" width="11.28515625" customWidth="1"/>
    <col min="15" max="15" width="13.42578125" bestFit="1" customWidth="1"/>
    <col min="16" max="16" width="14.28515625" customWidth="1"/>
    <col min="17" max="17" width="11.42578125" customWidth="1"/>
    <col min="18" max="18" width="9.140625" bestFit="1" customWidth="1"/>
    <col min="19" max="19" width="12" bestFit="1" customWidth="1"/>
    <col min="20" max="20" width="13" bestFit="1" customWidth="1"/>
    <col min="21" max="21" width="10.42578125" bestFit="1" customWidth="1"/>
    <col min="22" max="22" width="11" bestFit="1" customWidth="1"/>
    <col min="23" max="23" width="13" bestFit="1" customWidth="1"/>
  </cols>
  <sheetData>
    <row r="1" spans="1:220" s="8" customFormat="1" ht="18.75">
      <c r="A1" s="1" t="s">
        <v>17</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17</v>
      </c>
      <c r="C3" s="409">
        <v>3</v>
      </c>
      <c r="D3" s="410">
        <f>SUM(B3:C3)</f>
        <v>20</v>
      </c>
      <c r="E3" s="411">
        <f t="shared" ref="E3" si="0">ROUND((O3/B3), 0)</f>
        <v>16</v>
      </c>
      <c r="F3" s="411">
        <f t="shared" ref="F3" si="1">ROUND((O3/D3), 0)</f>
        <v>13</v>
      </c>
      <c r="G3" s="409">
        <v>17</v>
      </c>
      <c r="H3" s="409">
        <v>2</v>
      </c>
      <c r="I3" s="409">
        <v>88</v>
      </c>
      <c r="J3" s="409">
        <v>315</v>
      </c>
      <c r="K3" s="410">
        <f t="shared" ref="K3" si="2">SUM(I3:J3)</f>
        <v>403</v>
      </c>
      <c r="L3" s="409">
        <v>105</v>
      </c>
      <c r="M3" s="411">
        <f>(I3+L3)</f>
        <v>193</v>
      </c>
      <c r="N3" s="409">
        <v>78</v>
      </c>
      <c r="O3" s="409">
        <v>269</v>
      </c>
      <c r="P3" s="413">
        <f t="shared" ref="P3" si="3">M3/O3</f>
        <v>0.71747211895910779</v>
      </c>
      <c r="Q3" s="409">
        <v>123</v>
      </c>
      <c r="R3" s="409">
        <v>31</v>
      </c>
      <c r="S3" s="414">
        <v>3227038.15</v>
      </c>
      <c r="T3" s="415">
        <f t="shared" ref="T3" si="4">SUM(U3:V3)</f>
        <v>2816782</v>
      </c>
      <c r="U3" s="414">
        <v>1575891</v>
      </c>
      <c r="V3" s="414">
        <v>1240891</v>
      </c>
      <c r="W3" s="335">
        <f t="shared" ref="W3" si="5">V3/T3</f>
        <v>0.44053497927777158</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18</v>
      </c>
      <c r="C4" s="409">
        <v>0</v>
      </c>
      <c r="D4" s="410">
        <f>SUM(B4:C4)</f>
        <v>18</v>
      </c>
      <c r="E4" s="411">
        <f>ROUND((O4/B4), 0)</f>
        <v>13</v>
      </c>
      <c r="F4" s="411">
        <f>ROUND((O4/D4), 0)</f>
        <v>13</v>
      </c>
      <c r="G4" s="409">
        <v>18</v>
      </c>
      <c r="H4" s="409">
        <v>0</v>
      </c>
      <c r="I4" s="409">
        <v>57</v>
      </c>
      <c r="J4" s="409">
        <v>301</v>
      </c>
      <c r="K4" s="410">
        <f t="shared" ref="K4" si="6">SUM(I4:J4)</f>
        <v>358</v>
      </c>
      <c r="L4" s="409">
        <v>100</v>
      </c>
      <c r="M4" s="411">
        <f>(I4+L4)</f>
        <v>157</v>
      </c>
      <c r="N4" s="409">
        <v>70</v>
      </c>
      <c r="O4" s="409">
        <v>234.33</v>
      </c>
      <c r="P4" s="413">
        <f t="shared" ref="P4" si="7">M4/O4</f>
        <v>0.66999530576537358</v>
      </c>
      <c r="Q4" s="409">
        <v>132</v>
      </c>
      <c r="R4" s="409">
        <v>17</v>
      </c>
      <c r="S4" s="414">
        <v>3191632</v>
      </c>
      <c r="T4" s="415">
        <f>SUM(U4:V4)</f>
        <v>2846781</v>
      </c>
      <c r="U4" s="414">
        <v>1423389</v>
      </c>
      <c r="V4" s="414">
        <v>1423392</v>
      </c>
      <c r="W4" s="335">
        <f t="shared" ref="W4" si="8">V4/T4</f>
        <v>0.50000052691092145</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18</v>
      </c>
      <c r="C5" s="409">
        <v>0</v>
      </c>
      <c r="D5" s="410">
        <f>SUM(B5:C5)</f>
        <v>18</v>
      </c>
      <c r="E5" s="411">
        <f>ROUND((O5/B5), 0)</f>
        <v>13</v>
      </c>
      <c r="F5" s="411">
        <f>ROUND((O5/D5), 0)</f>
        <v>13</v>
      </c>
      <c r="G5" s="409">
        <v>18</v>
      </c>
      <c r="H5" s="409">
        <v>0</v>
      </c>
      <c r="I5" s="409">
        <v>52</v>
      </c>
      <c r="J5" s="409">
        <v>278</v>
      </c>
      <c r="K5" s="410">
        <f>SUM(I5:J5)</f>
        <v>330</v>
      </c>
      <c r="L5" s="409">
        <v>100</v>
      </c>
      <c r="M5" s="411">
        <f>(I5+L5)</f>
        <v>152</v>
      </c>
      <c r="N5" s="409">
        <v>51</v>
      </c>
      <c r="O5" s="409">
        <v>234.33</v>
      </c>
      <c r="P5" s="413">
        <f>M5/O5</f>
        <v>0.64865787564545718</v>
      </c>
      <c r="Q5" s="409">
        <v>116</v>
      </c>
      <c r="R5" s="409">
        <v>9</v>
      </c>
      <c r="S5" s="414">
        <v>2995790</v>
      </c>
      <c r="T5" s="415">
        <f>SUM(U5:V5)</f>
        <v>3733736</v>
      </c>
      <c r="U5" s="414">
        <v>3222176</v>
      </c>
      <c r="V5" s="414">
        <v>511560</v>
      </c>
      <c r="W5" s="335">
        <f>V5/T5</f>
        <v>0.1370102224688623</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18</v>
      </c>
      <c r="C6" s="20">
        <v>0</v>
      </c>
      <c r="D6" s="29">
        <f>SUM(B6:C6)</f>
        <v>18</v>
      </c>
      <c r="E6" s="172">
        <f>ROUND((O6/B6), 0)</f>
        <v>9</v>
      </c>
      <c r="F6" s="172">
        <f>ROUND((O6/D6), 0)</f>
        <v>9</v>
      </c>
      <c r="G6" s="20">
        <v>18</v>
      </c>
      <c r="H6" s="20">
        <v>0</v>
      </c>
      <c r="I6" s="20">
        <v>6</v>
      </c>
      <c r="J6" s="20">
        <v>300</v>
      </c>
      <c r="K6" s="29">
        <f>SUM(I6:J6)</f>
        <v>306</v>
      </c>
      <c r="L6" s="20">
        <v>108</v>
      </c>
      <c r="M6" s="172">
        <f>(I6+L6)</f>
        <v>114</v>
      </c>
      <c r="N6" s="20">
        <v>46</v>
      </c>
      <c r="O6" s="20">
        <v>160.66</v>
      </c>
      <c r="P6" s="183">
        <f>M6/O6</f>
        <v>0.70957301132827089</v>
      </c>
      <c r="Q6" s="20">
        <v>98</v>
      </c>
      <c r="R6" s="20">
        <v>16</v>
      </c>
      <c r="S6" s="24">
        <v>3199387</v>
      </c>
      <c r="T6" s="30">
        <f>SUM(U6:V6)</f>
        <v>3284880</v>
      </c>
      <c r="U6" s="24">
        <v>2868146</v>
      </c>
      <c r="V6" s="24">
        <v>416734</v>
      </c>
      <c r="W6" s="185">
        <f>V6/T6</f>
        <v>0.12686429945690558</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18</v>
      </c>
      <c r="C7" s="20">
        <v>0</v>
      </c>
      <c r="D7" s="34">
        <f>SUM(B7:C7)</f>
        <v>18</v>
      </c>
      <c r="E7" s="34">
        <f>ROUND((O7/B7), 0)</f>
        <v>14</v>
      </c>
      <c r="F7" s="34">
        <f>ROUND((O7/D7), 0)</f>
        <v>14</v>
      </c>
      <c r="G7" s="20">
        <v>18</v>
      </c>
      <c r="H7" s="20">
        <v>0</v>
      </c>
      <c r="I7" s="20">
        <v>9</v>
      </c>
      <c r="J7" s="20">
        <v>273</v>
      </c>
      <c r="K7" s="34">
        <f>SUM(I7:J7)</f>
        <v>282</v>
      </c>
      <c r="L7" s="20">
        <f>J7*0.36</f>
        <v>98.28</v>
      </c>
      <c r="M7" s="36">
        <f>(I7+L7)</f>
        <v>107.28</v>
      </c>
      <c r="N7" s="344">
        <v>34</v>
      </c>
      <c r="O7" s="344">
        <v>255</v>
      </c>
      <c r="P7" s="183">
        <f t="shared" ref="P7:P22" si="9">M7/O7</f>
        <v>0.42070588235294121</v>
      </c>
      <c r="Q7" s="20">
        <v>108</v>
      </c>
      <c r="R7" s="20">
        <v>18</v>
      </c>
      <c r="S7" s="300">
        <v>2933877</v>
      </c>
      <c r="T7" s="35">
        <f>SUM(U7:V7)</f>
        <v>3456349</v>
      </c>
      <c r="U7" s="341">
        <v>3136778</v>
      </c>
      <c r="V7" s="24">
        <v>319571</v>
      </c>
      <c r="W7" s="185">
        <f t="shared" ref="W7:W22" si="10">V7/T7</f>
        <v>9.2459123774827137E-2</v>
      </c>
    </row>
    <row r="8" spans="1:220" s="65" customFormat="1">
      <c r="A8" s="95">
        <v>2016</v>
      </c>
      <c r="B8" s="63">
        <v>16</v>
      </c>
      <c r="C8" s="63">
        <v>0</v>
      </c>
      <c r="D8" s="81">
        <f>B8+C8</f>
        <v>16</v>
      </c>
      <c r="E8" s="82">
        <f>ROUND((O8/B8), 0)</f>
        <v>11</v>
      </c>
      <c r="F8" s="109">
        <f>ROUND((O8/D8), 0)</f>
        <v>11</v>
      </c>
      <c r="G8" s="83">
        <v>16</v>
      </c>
      <c r="H8" s="83">
        <v>0</v>
      </c>
      <c r="I8" s="63">
        <v>10</v>
      </c>
      <c r="J8" s="63">
        <v>294</v>
      </c>
      <c r="K8" s="108">
        <f>I8+J8</f>
        <v>304</v>
      </c>
      <c r="L8" s="63">
        <v>120</v>
      </c>
      <c r="M8" s="109">
        <f>I8+L8</f>
        <v>130</v>
      </c>
      <c r="N8" s="63">
        <v>35</v>
      </c>
      <c r="O8" s="63">
        <v>183.67</v>
      </c>
      <c r="P8" s="183">
        <f t="shared" si="9"/>
        <v>0.70779114716611313</v>
      </c>
      <c r="Q8" s="63">
        <v>99</v>
      </c>
      <c r="R8" s="63">
        <v>16</v>
      </c>
      <c r="S8" s="69">
        <v>3288888</v>
      </c>
      <c r="T8" s="110">
        <f>SUM(U8:V8)</f>
        <v>3429156</v>
      </c>
      <c r="U8" s="69">
        <v>3183117</v>
      </c>
      <c r="V8" s="69">
        <v>246039</v>
      </c>
      <c r="W8" s="185">
        <f t="shared" si="10"/>
        <v>7.174914177132799E-2</v>
      </c>
    </row>
    <row r="9" spans="1:220" s="105" customFormat="1">
      <c r="A9" s="267">
        <v>2015</v>
      </c>
      <c r="B9" s="91">
        <v>18</v>
      </c>
      <c r="C9" s="91">
        <v>0</v>
      </c>
      <c r="D9" s="81">
        <v>18</v>
      </c>
      <c r="E9" s="81">
        <v>10.1</v>
      </c>
      <c r="F9" s="81">
        <v>10.1</v>
      </c>
      <c r="G9" s="111"/>
      <c r="H9" s="111"/>
      <c r="I9" s="91">
        <v>10</v>
      </c>
      <c r="J9" s="91">
        <v>260</v>
      </c>
      <c r="K9" s="81">
        <v>270</v>
      </c>
      <c r="L9" s="91">
        <v>97</v>
      </c>
      <c r="M9" s="81">
        <v>106.67</v>
      </c>
      <c r="N9" s="91">
        <v>31</v>
      </c>
      <c r="O9" s="91">
        <v>182.01</v>
      </c>
      <c r="P9" s="183">
        <f t="shared" si="9"/>
        <v>0.5860666996318884</v>
      </c>
      <c r="Q9" s="91">
        <v>100</v>
      </c>
      <c r="R9" s="91">
        <v>5</v>
      </c>
      <c r="S9" s="102">
        <v>3595318</v>
      </c>
      <c r="T9" s="103">
        <v>3915291</v>
      </c>
      <c r="U9" s="102">
        <v>2944846</v>
      </c>
      <c r="V9" s="102">
        <v>970445</v>
      </c>
      <c r="W9" s="185">
        <f t="shared" si="10"/>
        <v>0.24786024844641177</v>
      </c>
    </row>
    <row r="10" spans="1:220" s="105" customFormat="1">
      <c r="A10" s="90">
        <v>2014</v>
      </c>
      <c r="B10" s="91">
        <v>18</v>
      </c>
      <c r="C10" s="91">
        <v>0</v>
      </c>
      <c r="D10" s="81">
        <f>B10+C10</f>
        <v>18</v>
      </c>
      <c r="E10" s="82">
        <f t="shared" ref="E10:E22" si="11">ROUND((O10/B10), 0)</f>
        <v>7</v>
      </c>
      <c r="F10" s="82">
        <f t="shared" ref="F10:F22" si="12">ROUND((O10/D10), 0)</f>
        <v>7</v>
      </c>
      <c r="G10" s="111"/>
      <c r="H10" s="111"/>
      <c r="I10" s="91">
        <v>14</v>
      </c>
      <c r="J10" s="91">
        <v>265</v>
      </c>
      <c r="K10" s="81">
        <f>I10+J10</f>
        <v>279</v>
      </c>
      <c r="L10" s="91">
        <v>38.659999999999997</v>
      </c>
      <c r="M10" s="82">
        <f>I10+L10</f>
        <v>52.66</v>
      </c>
      <c r="N10" s="91">
        <v>28</v>
      </c>
      <c r="O10" s="91">
        <v>117</v>
      </c>
      <c r="P10" s="183">
        <f t="shared" si="9"/>
        <v>0.45008547008547006</v>
      </c>
      <c r="Q10" s="91">
        <v>118</v>
      </c>
      <c r="R10" s="91">
        <v>11</v>
      </c>
      <c r="S10" s="92">
        <v>3902506</v>
      </c>
      <c r="T10" s="85">
        <f t="shared" ref="T10:T22" si="13">SUM(U10:V10)</f>
        <v>3106446</v>
      </c>
      <c r="U10" s="92">
        <v>2916425</v>
      </c>
      <c r="V10" s="92">
        <v>190021</v>
      </c>
      <c r="W10" s="185">
        <f t="shared" si="10"/>
        <v>6.1169902840738255E-2</v>
      </c>
    </row>
    <row r="11" spans="1:220" s="71" customFormat="1">
      <c r="A11" s="90">
        <v>2013</v>
      </c>
      <c r="B11" s="353">
        <v>17</v>
      </c>
      <c r="C11" s="353">
        <v>3</v>
      </c>
      <c r="D11" s="108">
        <f>B11+C11</f>
        <v>20</v>
      </c>
      <c r="E11" s="109">
        <f t="shared" si="11"/>
        <v>10</v>
      </c>
      <c r="F11" s="109">
        <f t="shared" si="12"/>
        <v>9</v>
      </c>
      <c r="G11" s="113"/>
      <c r="H11" s="113"/>
      <c r="I11" s="353">
        <v>13</v>
      </c>
      <c r="J11" s="353">
        <v>277</v>
      </c>
      <c r="K11" s="108">
        <f>I11+J11</f>
        <v>290</v>
      </c>
      <c r="L11" s="353">
        <v>105.33</v>
      </c>
      <c r="M11" s="109">
        <f>I11+L11</f>
        <v>118.33</v>
      </c>
      <c r="N11" s="353">
        <v>26</v>
      </c>
      <c r="O11" s="353">
        <v>170.67</v>
      </c>
      <c r="P11" s="183">
        <f t="shared" si="9"/>
        <v>0.69332630222065983</v>
      </c>
      <c r="Q11" s="353">
        <v>119</v>
      </c>
      <c r="R11" s="353">
        <v>128</v>
      </c>
      <c r="S11" s="112">
        <v>3369580</v>
      </c>
      <c r="T11" s="110">
        <f t="shared" si="13"/>
        <v>3426981</v>
      </c>
      <c r="U11" s="112">
        <v>3163444</v>
      </c>
      <c r="V11" s="112">
        <v>263537</v>
      </c>
      <c r="W11" s="185">
        <f t="shared" si="10"/>
        <v>7.6900630613359111E-2</v>
      </c>
    </row>
    <row r="12" spans="1:220" s="71" customFormat="1">
      <c r="A12" s="90">
        <v>2012</v>
      </c>
      <c r="B12" s="353">
        <v>17</v>
      </c>
      <c r="C12" s="353">
        <v>4.5</v>
      </c>
      <c r="D12" s="108">
        <f>B12+C12</f>
        <v>21.5</v>
      </c>
      <c r="E12" s="109">
        <f t="shared" si="11"/>
        <v>13</v>
      </c>
      <c r="F12" s="109">
        <f t="shared" si="12"/>
        <v>10</v>
      </c>
      <c r="G12" s="113"/>
      <c r="H12" s="113"/>
      <c r="I12" s="353">
        <v>85</v>
      </c>
      <c r="J12" s="353">
        <v>219</v>
      </c>
      <c r="K12" s="108">
        <f>I12+J12</f>
        <v>304</v>
      </c>
      <c r="L12" s="353">
        <v>119.99</v>
      </c>
      <c r="M12" s="109">
        <f>I12+L12</f>
        <v>204.99</v>
      </c>
      <c r="N12" s="353">
        <v>40</v>
      </c>
      <c r="O12" s="353">
        <v>224.64000000000004</v>
      </c>
      <c r="P12" s="183">
        <f t="shared" si="9"/>
        <v>0.91252670940170921</v>
      </c>
      <c r="Q12" s="353">
        <v>157</v>
      </c>
      <c r="R12" s="353">
        <v>14</v>
      </c>
      <c r="S12" s="112">
        <v>6090716</v>
      </c>
      <c r="T12" s="110">
        <f t="shared" si="13"/>
        <v>3188294</v>
      </c>
      <c r="U12" s="112">
        <v>2792225</v>
      </c>
      <c r="V12" s="112">
        <v>396069</v>
      </c>
      <c r="W12" s="185">
        <f t="shared" si="10"/>
        <v>0.12422599672426696</v>
      </c>
    </row>
    <row r="13" spans="1:220" s="71" customFormat="1">
      <c r="A13" s="90">
        <v>2011</v>
      </c>
      <c r="B13" s="353">
        <v>19</v>
      </c>
      <c r="C13" s="353">
        <v>5.5</v>
      </c>
      <c r="D13" s="108">
        <f t="shared" ref="D13:D22" si="14">SUM(B13:C13)</f>
        <v>24.5</v>
      </c>
      <c r="E13" s="109">
        <f t="shared" si="11"/>
        <v>15</v>
      </c>
      <c r="F13" s="109">
        <f t="shared" si="12"/>
        <v>12</v>
      </c>
      <c r="G13" s="113"/>
      <c r="H13" s="113"/>
      <c r="I13" s="353">
        <v>93</v>
      </c>
      <c r="J13" s="353">
        <v>260</v>
      </c>
      <c r="K13" s="108">
        <f t="shared" ref="K13:K22" si="15">SUM(I13:J13)</f>
        <v>353</v>
      </c>
      <c r="L13" s="353">
        <v>144.22</v>
      </c>
      <c r="M13" s="109">
        <f t="shared" ref="M13:M22" si="16">(I13+L13)</f>
        <v>237.22</v>
      </c>
      <c r="N13" s="353">
        <v>42</v>
      </c>
      <c r="O13" s="353">
        <v>286.78000000000003</v>
      </c>
      <c r="P13" s="183">
        <f t="shared" si="9"/>
        <v>0.82718460143664119</v>
      </c>
      <c r="Q13" s="353">
        <v>161</v>
      </c>
      <c r="R13" s="353">
        <v>5</v>
      </c>
      <c r="S13" s="112">
        <v>2936939</v>
      </c>
      <c r="T13" s="110">
        <f t="shared" si="13"/>
        <v>2943488</v>
      </c>
      <c r="U13" s="112">
        <v>2360517</v>
      </c>
      <c r="V13" s="112">
        <v>582971</v>
      </c>
      <c r="W13" s="185">
        <f t="shared" si="10"/>
        <v>0.19805448501913375</v>
      </c>
    </row>
    <row r="14" spans="1:220" s="71" customFormat="1">
      <c r="A14" s="90">
        <v>2010</v>
      </c>
      <c r="B14" s="353">
        <v>16</v>
      </c>
      <c r="C14" s="353">
        <v>5.5</v>
      </c>
      <c r="D14" s="108">
        <f t="shared" si="14"/>
        <v>21.5</v>
      </c>
      <c r="E14" s="109">
        <f t="shared" si="11"/>
        <v>20</v>
      </c>
      <c r="F14" s="109">
        <f t="shared" si="12"/>
        <v>15</v>
      </c>
      <c r="G14" s="113"/>
      <c r="H14" s="113"/>
      <c r="I14" s="353">
        <v>136</v>
      </c>
      <c r="J14" s="353">
        <v>280</v>
      </c>
      <c r="K14" s="108">
        <f t="shared" si="15"/>
        <v>416</v>
      </c>
      <c r="L14" s="353">
        <v>149.66999999999999</v>
      </c>
      <c r="M14" s="109">
        <f t="shared" si="16"/>
        <v>285.66999999999996</v>
      </c>
      <c r="N14" s="353">
        <v>50</v>
      </c>
      <c r="O14" s="353">
        <v>318.67</v>
      </c>
      <c r="P14" s="183">
        <f t="shared" si="9"/>
        <v>0.89644459785985486</v>
      </c>
      <c r="Q14" s="353">
        <v>148</v>
      </c>
      <c r="R14" s="353">
        <v>4</v>
      </c>
      <c r="S14" s="112">
        <v>2669212</v>
      </c>
      <c r="T14" s="110">
        <f t="shared" si="13"/>
        <v>3450850</v>
      </c>
      <c r="U14" s="112">
        <v>2390425</v>
      </c>
      <c r="V14" s="112">
        <v>1060425</v>
      </c>
      <c r="W14" s="185">
        <f t="shared" si="10"/>
        <v>0.30729385513714014</v>
      </c>
    </row>
    <row r="15" spans="1:220" s="71" customFormat="1">
      <c r="A15" s="90">
        <v>2009</v>
      </c>
      <c r="B15" s="353">
        <v>14</v>
      </c>
      <c r="C15" s="353">
        <v>6</v>
      </c>
      <c r="D15" s="108">
        <f t="shared" si="14"/>
        <v>20</v>
      </c>
      <c r="E15" s="109">
        <f t="shared" si="11"/>
        <v>21</v>
      </c>
      <c r="F15" s="109">
        <f t="shared" si="12"/>
        <v>15</v>
      </c>
      <c r="G15" s="113"/>
      <c r="H15" s="113"/>
      <c r="I15" s="353">
        <v>109</v>
      </c>
      <c r="J15" s="353">
        <v>298</v>
      </c>
      <c r="K15" s="108">
        <f t="shared" si="15"/>
        <v>407</v>
      </c>
      <c r="L15" s="353">
        <v>159.56</v>
      </c>
      <c r="M15" s="109">
        <f t="shared" si="16"/>
        <v>268.56</v>
      </c>
      <c r="N15" s="353">
        <v>48</v>
      </c>
      <c r="O15" s="353">
        <v>293.56</v>
      </c>
      <c r="P15" s="183">
        <f t="shared" si="9"/>
        <v>0.91483853386019898</v>
      </c>
      <c r="Q15" s="353">
        <v>143</v>
      </c>
      <c r="R15" s="353">
        <v>3</v>
      </c>
      <c r="S15" s="112">
        <v>2767099</v>
      </c>
      <c r="T15" s="110">
        <f t="shared" si="13"/>
        <v>2893934</v>
      </c>
      <c r="U15" s="112">
        <v>2685210</v>
      </c>
      <c r="V15" s="112">
        <v>208724</v>
      </c>
      <c r="W15" s="185">
        <f t="shared" si="10"/>
        <v>7.2124657991509133E-2</v>
      </c>
    </row>
    <row r="16" spans="1:220" s="71" customFormat="1">
      <c r="A16" s="90">
        <v>2008</v>
      </c>
      <c r="B16" s="353">
        <v>15</v>
      </c>
      <c r="C16" s="353">
        <v>5</v>
      </c>
      <c r="D16" s="108">
        <f t="shared" si="14"/>
        <v>20</v>
      </c>
      <c r="E16" s="109">
        <f t="shared" si="11"/>
        <v>19</v>
      </c>
      <c r="F16" s="109">
        <f t="shared" si="12"/>
        <v>14</v>
      </c>
      <c r="G16" s="113"/>
      <c r="H16" s="113"/>
      <c r="I16" s="353">
        <v>105</v>
      </c>
      <c r="J16" s="353">
        <v>305</v>
      </c>
      <c r="K16" s="108">
        <f t="shared" si="15"/>
        <v>410</v>
      </c>
      <c r="L16" s="353">
        <v>169.33</v>
      </c>
      <c r="M16" s="109">
        <f t="shared" si="16"/>
        <v>274.33000000000004</v>
      </c>
      <c r="N16" s="353">
        <v>44</v>
      </c>
      <c r="O16" s="353">
        <v>289</v>
      </c>
      <c r="P16" s="183">
        <f t="shared" si="9"/>
        <v>0.94923875432525961</v>
      </c>
      <c r="Q16" s="353">
        <v>179</v>
      </c>
      <c r="R16" s="353">
        <v>27</v>
      </c>
      <c r="S16" s="112">
        <v>2454526</v>
      </c>
      <c r="T16" s="110">
        <f t="shared" si="13"/>
        <v>4193501</v>
      </c>
      <c r="U16" s="112">
        <v>173391</v>
      </c>
      <c r="V16" s="112">
        <v>4020110</v>
      </c>
      <c r="W16" s="185">
        <f t="shared" si="10"/>
        <v>0.95865244815727957</v>
      </c>
    </row>
    <row r="17" spans="1:23" s="71" customFormat="1">
      <c r="A17" s="90">
        <v>2007</v>
      </c>
      <c r="B17" s="353">
        <v>15</v>
      </c>
      <c r="C17" s="353">
        <v>6</v>
      </c>
      <c r="D17" s="194">
        <f t="shared" si="14"/>
        <v>21</v>
      </c>
      <c r="E17" s="109">
        <f t="shared" si="11"/>
        <v>20</v>
      </c>
      <c r="F17" s="109">
        <f t="shared" si="12"/>
        <v>14</v>
      </c>
      <c r="G17" s="113"/>
      <c r="H17" s="113"/>
      <c r="I17" s="353">
        <v>107</v>
      </c>
      <c r="J17" s="353">
        <v>335</v>
      </c>
      <c r="K17" s="194">
        <f t="shared" si="15"/>
        <v>442</v>
      </c>
      <c r="L17" s="353">
        <v>181.29</v>
      </c>
      <c r="M17" s="109">
        <f t="shared" si="16"/>
        <v>288.28999999999996</v>
      </c>
      <c r="N17" s="353">
        <v>34</v>
      </c>
      <c r="O17" s="353">
        <v>301</v>
      </c>
      <c r="P17" s="183">
        <f t="shared" si="9"/>
        <v>0.9577740863787374</v>
      </c>
      <c r="Q17" s="353">
        <v>158</v>
      </c>
      <c r="R17" s="353">
        <v>10</v>
      </c>
      <c r="S17" s="250">
        <v>2300600</v>
      </c>
      <c r="T17" s="110">
        <f t="shared" si="13"/>
        <v>2858412</v>
      </c>
      <c r="U17" s="250">
        <v>143391</v>
      </c>
      <c r="V17" s="250">
        <v>2715021</v>
      </c>
      <c r="W17" s="185">
        <f t="shared" si="10"/>
        <v>0.94983543310061669</v>
      </c>
    </row>
    <row r="18" spans="1:23" s="71" customFormat="1">
      <c r="A18" s="90">
        <v>2006</v>
      </c>
      <c r="B18" s="353">
        <v>14</v>
      </c>
      <c r="C18" s="353">
        <v>3.5</v>
      </c>
      <c r="D18" s="194">
        <f t="shared" si="14"/>
        <v>17.5</v>
      </c>
      <c r="E18" s="109">
        <f t="shared" si="11"/>
        <v>20</v>
      </c>
      <c r="F18" s="109">
        <f t="shared" si="12"/>
        <v>16</v>
      </c>
      <c r="G18" s="113"/>
      <c r="H18" s="113"/>
      <c r="I18" s="353">
        <v>123</v>
      </c>
      <c r="J18" s="353">
        <v>279</v>
      </c>
      <c r="K18" s="194">
        <f t="shared" si="15"/>
        <v>402</v>
      </c>
      <c r="L18" s="353">
        <v>154</v>
      </c>
      <c r="M18" s="109">
        <f t="shared" si="16"/>
        <v>277</v>
      </c>
      <c r="N18" s="353">
        <v>36</v>
      </c>
      <c r="O18" s="353">
        <v>281</v>
      </c>
      <c r="P18" s="183">
        <f t="shared" si="9"/>
        <v>0.98576512455516019</v>
      </c>
      <c r="Q18" s="353">
        <v>208</v>
      </c>
      <c r="R18" s="353">
        <v>15</v>
      </c>
      <c r="S18" s="192">
        <v>2597527</v>
      </c>
      <c r="T18" s="110">
        <f t="shared" si="13"/>
        <v>2396966</v>
      </c>
      <c r="U18" s="192">
        <v>2013724</v>
      </c>
      <c r="V18" s="192">
        <v>383242</v>
      </c>
      <c r="W18" s="185">
        <f t="shared" si="10"/>
        <v>0.15988628958441631</v>
      </c>
    </row>
    <row r="19" spans="1:23" s="71" customFormat="1">
      <c r="A19" s="90">
        <v>2005</v>
      </c>
      <c r="B19" s="353">
        <v>14</v>
      </c>
      <c r="C19" s="353">
        <v>4</v>
      </c>
      <c r="D19" s="194">
        <f t="shared" si="14"/>
        <v>18</v>
      </c>
      <c r="E19" s="109">
        <f t="shared" si="11"/>
        <v>21</v>
      </c>
      <c r="F19" s="109">
        <f t="shared" si="12"/>
        <v>16</v>
      </c>
      <c r="G19" s="113"/>
      <c r="H19" s="113"/>
      <c r="I19" s="353">
        <v>109</v>
      </c>
      <c r="J19" s="353">
        <v>342</v>
      </c>
      <c r="K19" s="194">
        <f t="shared" si="15"/>
        <v>451</v>
      </c>
      <c r="L19" s="353">
        <v>172</v>
      </c>
      <c r="M19" s="109">
        <f t="shared" si="16"/>
        <v>281</v>
      </c>
      <c r="N19" s="353">
        <v>34</v>
      </c>
      <c r="O19" s="353">
        <v>292</v>
      </c>
      <c r="P19" s="183">
        <f t="shared" si="9"/>
        <v>0.96232876712328763</v>
      </c>
      <c r="Q19" s="353">
        <v>139</v>
      </c>
      <c r="R19" s="353">
        <v>5</v>
      </c>
      <c r="S19" s="192">
        <v>2012944</v>
      </c>
      <c r="T19" s="110">
        <f t="shared" si="13"/>
        <v>2551464</v>
      </c>
      <c r="U19" s="192">
        <v>1711416</v>
      </c>
      <c r="V19" s="192">
        <v>840048</v>
      </c>
      <c r="W19" s="185">
        <f t="shared" si="10"/>
        <v>0.32924156484277262</v>
      </c>
    </row>
    <row r="20" spans="1:23" s="71" customFormat="1">
      <c r="A20" s="90">
        <v>2004</v>
      </c>
      <c r="B20" s="195">
        <v>14</v>
      </c>
      <c r="C20" s="195">
        <v>4.5</v>
      </c>
      <c r="D20" s="194">
        <f t="shared" si="14"/>
        <v>18.5</v>
      </c>
      <c r="E20" s="109">
        <f t="shared" si="11"/>
        <v>18</v>
      </c>
      <c r="F20" s="109">
        <f t="shared" si="12"/>
        <v>14</v>
      </c>
      <c r="G20" s="113"/>
      <c r="H20" s="113"/>
      <c r="I20" s="195">
        <v>94</v>
      </c>
      <c r="J20" s="195">
        <v>307</v>
      </c>
      <c r="K20" s="194">
        <f t="shared" si="15"/>
        <v>401</v>
      </c>
      <c r="L20" s="195">
        <v>149</v>
      </c>
      <c r="M20" s="109">
        <f t="shared" si="16"/>
        <v>243</v>
      </c>
      <c r="N20" s="195">
        <v>31</v>
      </c>
      <c r="O20" s="195">
        <v>251</v>
      </c>
      <c r="P20" s="183">
        <f t="shared" si="9"/>
        <v>0.96812749003984067</v>
      </c>
      <c r="Q20" s="195">
        <v>169</v>
      </c>
      <c r="R20" s="353">
        <v>10</v>
      </c>
      <c r="S20" s="192">
        <v>1529117</v>
      </c>
      <c r="T20" s="110">
        <f t="shared" si="13"/>
        <v>2467710</v>
      </c>
      <c r="U20" s="192">
        <v>1653445</v>
      </c>
      <c r="V20" s="192">
        <v>814265</v>
      </c>
      <c r="W20" s="185">
        <f t="shared" si="10"/>
        <v>0.32996786494361169</v>
      </c>
    </row>
    <row r="21" spans="1:23" s="71" customFormat="1">
      <c r="A21" s="90">
        <v>2003</v>
      </c>
      <c r="B21" s="195">
        <v>9</v>
      </c>
      <c r="C21" s="195">
        <v>3</v>
      </c>
      <c r="D21" s="194">
        <f t="shared" si="14"/>
        <v>12</v>
      </c>
      <c r="E21" s="109">
        <f t="shared" si="11"/>
        <v>28</v>
      </c>
      <c r="F21" s="109">
        <f t="shared" si="12"/>
        <v>21</v>
      </c>
      <c r="G21" s="113"/>
      <c r="H21" s="113"/>
      <c r="I21" s="195">
        <v>75</v>
      </c>
      <c r="J21" s="195">
        <v>345</v>
      </c>
      <c r="K21" s="194">
        <f t="shared" si="15"/>
        <v>420</v>
      </c>
      <c r="L21" s="195">
        <v>156</v>
      </c>
      <c r="M21" s="109">
        <f t="shared" si="16"/>
        <v>231</v>
      </c>
      <c r="N21" s="195">
        <v>28</v>
      </c>
      <c r="O21" s="195">
        <v>250</v>
      </c>
      <c r="P21" s="183">
        <f t="shared" si="9"/>
        <v>0.92400000000000004</v>
      </c>
      <c r="Q21" s="195">
        <v>152</v>
      </c>
      <c r="R21" s="353">
        <v>10</v>
      </c>
      <c r="S21" s="192">
        <v>1725678</v>
      </c>
      <c r="T21" s="110">
        <f t="shared" si="13"/>
        <v>1676206</v>
      </c>
      <c r="U21" s="192">
        <v>1363444</v>
      </c>
      <c r="V21" s="192">
        <v>312762</v>
      </c>
      <c r="W21" s="185">
        <f t="shared" si="10"/>
        <v>0.18658923783830866</v>
      </c>
    </row>
    <row r="22" spans="1:23" s="71" customFormat="1">
      <c r="A22" s="90">
        <v>2002</v>
      </c>
      <c r="B22" s="195">
        <v>11</v>
      </c>
      <c r="C22" s="195">
        <v>2</v>
      </c>
      <c r="D22" s="194">
        <f t="shared" si="14"/>
        <v>13</v>
      </c>
      <c r="E22" s="109">
        <f t="shared" si="11"/>
        <v>22</v>
      </c>
      <c r="F22" s="109">
        <f t="shared" si="12"/>
        <v>19</v>
      </c>
      <c r="G22" s="113"/>
      <c r="H22" s="113"/>
      <c r="I22" s="195">
        <v>89</v>
      </c>
      <c r="J22" s="195">
        <v>297</v>
      </c>
      <c r="K22" s="194">
        <f t="shared" si="15"/>
        <v>386</v>
      </c>
      <c r="L22" s="195">
        <f>ROUND(143.7, 0)</f>
        <v>144</v>
      </c>
      <c r="M22" s="109">
        <f t="shared" si="16"/>
        <v>233</v>
      </c>
      <c r="N22" s="195">
        <v>27</v>
      </c>
      <c r="O22" s="195">
        <f>ROUND(244.3, 0)</f>
        <v>244</v>
      </c>
      <c r="P22" s="183">
        <f t="shared" si="9"/>
        <v>0.95491803278688525</v>
      </c>
      <c r="Q22" s="195">
        <v>152</v>
      </c>
      <c r="R22" s="353">
        <v>7</v>
      </c>
      <c r="S22" s="192">
        <v>1939059</v>
      </c>
      <c r="T22" s="110">
        <f t="shared" si="13"/>
        <v>1968267</v>
      </c>
      <c r="U22" s="192">
        <v>1441854</v>
      </c>
      <c r="V22" s="192">
        <v>526413</v>
      </c>
      <c r="W22" s="185">
        <f t="shared" si="10"/>
        <v>0.26744999535124048</v>
      </c>
    </row>
    <row r="23" spans="1:23" s="14" customFormat="1"/>
    <row r="24" spans="1:23" s="14" customFormat="1"/>
    <row r="25" spans="1:23" s="14" customFormat="1"/>
    <row r="26" spans="1:23" s="14" customFormat="1"/>
    <row r="27" spans="1:23" s="14" customFormat="1"/>
    <row r="28" spans="1:23" s="14" customFormat="1"/>
    <row r="29" spans="1:23" s="14" customFormat="1"/>
    <row r="30" spans="1:23" s="14" customFormat="1"/>
    <row r="31" spans="1:23" s="14" customFormat="1"/>
    <row r="32" spans="1:23" s="14" customFormat="1"/>
    <row r="33" s="14" customFormat="1"/>
  </sheetData>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HL30"/>
  <sheetViews>
    <sheetView workbookViewId="0">
      <selection activeCell="G32" sqref="G32"/>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2.2851562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18</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417">
        <v>2021</v>
      </c>
      <c r="B3" s="412">
        <v>19</v>
      </c>
      <c r="C3" s="412">
        <v>3.38</v>
      </c>
      <c r="D3" s="410">
        <f>SUM(B3:C3)</f>
        <v>22.38</v>
      </c>
      <c r="E3" s="411">
        <f t="shared" ref="E3" si="0">ROUND((O3/B3), 0)</f>
        <v>34</v>
      </c>
      <c r="F3" s="411">
        <f t="shared" ref="F3" si="1">ROUND((O3/D3), 0)</f>
        <v>29</v>
      </c>
      <c r="G3" s="412">
        <v>13</v>
      </c>
      <c r="H3" s="412">
        <v>0.9</v>
      </c>
      <c r="I3" s="412">
        <v>129</v>
      </c>
      <c r="J3" s="412">
        <v>176</v>
      </c>
      <c r="K3" s="410">
        <f t="shared" ref="K3" si="2">SUM(I3:J3)</f>
        <v>305</v>
      </c>
      <c r="L3" s="412">
        <v>63.36</v>
      </c>
      <c r="M3" s="411">
        <f>(I3+L3)</f>
        <v>192.36</v>
      </c>
      <c r="N3" s="507">
        <v>65</v>
      </c>
      <c r="O3" s="490">
        <v>653.4</v>
      </c>
      <c r="P3" s="413">
        <f t="shared" ref="P3" si="3">M3/O3</f>
        <v>0.29439853076216715</v>
      </c>
      <c r="Q3" s="409">
        <v>98</v>
      </c>
      <c r="R3" s="409">
        <v>90</v>
      </c>
      <c r="S3" s="529">
        <v>2303262.0099999998</v>
      </c>
      <c r="T3" s="415">
        <f t="shared" ref="T3" si="4">SUM(U3:V3)</f>
        <v>2652139</v>
      </c>
      <c r="U3" s="445">
        <v>2652139</v>
      </c>
      <c r="V3" s="529">
        <v>0</v>
      </c>
      <c r="W3" s="335">
        <f t="shared" ref="W3" si="5">V3/T3</f>
        <v>0</v>
      </c>
    </row>
    <row r="4" spans="1:220">
      <c r="A4" s="417">
        <v>2020</v>
      </c>
      <c r="B4" s="412">
        <v>19</v>
      </c>
      <c r="C4" s="412">
        <v>3.02</v>
      </c>
      <c r="D4" s="410">
        <f>SUM(B4:C4)</f>
        <v>22.02</v>
      </c>
      <c r="E4" s="411">
        <f>ROUND((O4/B4), 0)</f>
        <v>22</v>
      </c>
      <c r="F4" s="411">
        <f>ROUND((O4/D4), 0)</f>
        <v>19</v>
      </c>
      <c r="G4" s="412">
        <v>12</v>
      </c>
      <c r="H4" s="412">
        <v>0.9</v>
      </c>
      <c r="I4" s="412">
        <v>133</v>
      </c>
      <c r="J4" s="412">
        <v>160</v>
      </c>
      <c r="K4" s="410">
        <f t="shared" ref="K4" si="6">SUM(I4:J4)</f>
        <v>293</v>
      </c>
      <c r="L4" s="412">
        <v>57.6</v>
      </c>
      <c r="M4" s="411">
        <f>(I4+L4)</f>
        <v>190.6</v>
      </c>
      <c r="N4" s="507">
        <v>71</v>
      </c>
      <c r="O4" s="490">
        <v>420.92</v>
      </c>
      <c r="P4" s="413">
        <f t="shared" ref="P4" si="7">M4/O4</f>
        <v>0.45281763755583004</v>
      </c>
      <c r="Q4" s="409">
        <v>82</v>
      </c>
      <c r="R4" s="409">
        <v>86</v>
      </c>
      <c r="S4" s="529">
        <v>2525185.21</v>
      </c>
      <c r="T4" s="415">
        <v>2534976.2200000002</v>
      </c>
      <c r="U4" s="445">
        <v>2409019</v>
      </c>
      <c r="V4" s="529">
        <v>125957.22</v>
      </c>
      <c r="W4" s="335">
        <f t="shared" ref="W4" si="8">V4/T4</f>
        <v>4.9687732376440197E-2</v>
      </c>
    </row>
    <row r="5" spans="1:220">
      <c r="A5" s="417">
        <v>2019</v>
      </c>
      <c r="B5" s="412">
        <v>21</v>
      </c>
      <c r="C5" s="412">
        <v>2.16</v>
      </c>
      <c r="D5" s="410">
        <f>SUM(B5:C5)</f>
        <v>23.16</v>
      </c>
      <c r="E5" s="411">
        <f>ROUND((O5/B5), 0)</f>
        <v>21</v>
      </c>
      <c r="F5" s="411">
        <f>ROUND((O5/D5), 0)</f>
        <v>19</v>
      </c>
      <c r="G5" s="412">
        <v>9</v>
      </c>
      <c r="H5" s="412">
        <v>0.54</v>
      </c>
      <c r="I5" s="412">
        <v>79</v>
      </c>
      <c r="J5" s="412">
        <v>198</v>
      </c>
      <c r="K5" s="410">
        <f t="shared" ref="K5" si="9">SUM(I5:J5)</f>
        <v>277</v>
      </c>
      <c r="L5" s="412">
        <v>71.28</v>
      </c>
      <c r="M5" s="411">
        <f>(I5+L5)</f>
        <v>150.28</v>
      </c>
      <c r="N5" s="412">
        <v>77</v>
      </c>
      <c r="O5" s="490">
        <v>448.88</v>
      </c>
      <c r="P5" s="413">
        <f t="shared" ref="P5" si="10">M5/O5</f>
        <v>0.33478880769916236</v>
      </c>
      <c r="Q5" s="409">
        <v>94</v>
      </c>
      <c r="R5" s="409">
        <v>73</v>
      </c>
      <c r="S5" s="530">
        <v>2388210</v>
      </c>
      <c r="T5" s="415">
        <v>2388210</v>
      </c>
      <c r="U5" s="445">
        <v>2343205</v>
      </c>
      <c r="V5" s="445">
        <v>131692.82999999999</v>
      </c>
      <c r="W5" s="335">
        <f t="shared" ref="W5" si="11">V5/T5</f>
        <v>5.5142902006104985E-2</v>
      </c>
    </row>
    <row r="6" spans="1:220" s="17" customFormat="1">
      <c r="A6" s="33">
        <v>2018</v>
      </c>
      <c r="B6" s="20">
        <v>23</v>
      </c>
      <c r="C6" s="20">
        <v>1.98</v>
      </c>
      <c r="D6" s="29">
        <f>SUM(B6:C6)</f>
        <v>24.98</v>
      </c>
      <c r="E6" s="172">
        <f>ROUND((O6/B6), 0)</f>
        <v>149</v>
      </c>
      <c r="F6" s="172">
        <f>ROUND((O6/D6), 0)</f>
        <v>137</v>
      </c>
      <c r="G6" s="20">
        <v>10</v>
      </c>
      <c r="H6" s="20">
        <v>0.36</v>
      </c>
      <c r="I6" s="20">
        <v>81</v>
      </c>
      <c r="J6" s="20">
        <v>144</v>
      </c>
      <c r="K6" s="29">
        <f t="shared" ref="K6" si="12">SUM(I6:J6)</f>
        <v>225</v>
      </c>
      <c r="L6" s="20">
        <v>51.84</v>
      </c>
      <c r="M6" s="172">
        <f>(I6+L6)</f>
        <v>132.84</v>
      </c>
      <c r="N6" s="20">
        <v>60</v>
      </c>
      <c r="O6" s="20">
        <v>3434</v>
      </c>
      <c r="P6" s="183">
        <f>M6/O6</f>
        <v>3.8683750728013978E-2</v>
      </c>
      <c r="Q6" s="20">
        <v>86</v>
      </c>
      <c r="R6" s="20">
        <v>842</v>
      </c>
      <c r="S6" s="24">
        <v>2639226</v>
      </c>
      <c r="T6" s="30">
        <f>SUM(U6:V6)</f>
        <v>2756675</v>
      </c>
      <c r="U6" s="24">
        <v>2594461</v>
      </c>
      <c r="V6" s="24">
        <v>162214</v>
      </c>
      <c r="W6" s="185">
        <f>V6/T6</f>
        <v>5.8844078464091704E-2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24</v>
      </c>
      <c r="C7" s="20">
        <v>4</v>
      </c>
      <c r="D7" s="34">
        <f>SUM(B7:C7)</f>
        <v>28</v>
      </c>
      <c r="E7" s="34">
        <f>ROUND((O7/B7), 0)</f>
        <v>141</v>
      </c>
      <c r="F7" s="34">
        <f>ROUND((O7/D7), 0)</f>
        <v>121</v>
      </c>
      <c r="G7" s="20">
        <v>13</v>
      </c>
      <c r="H7" s="20">
        <v>0.36</v>
      </c>
      <c r="I7" s="20">
        <v>86</v>
      </c>
      <c r="J7" s="20">
        <v>148</v>
      </c>
      <c r="K7" s="34">
        <f>SUM(I7:J7)</f>
        <v>234</v>
      </c>
      <c r="L7" s="20">
        <v>86.58</v>
      </c>
      <c r="M7" s="36">
        <f>(I7+L7)</f>
        <v>172.57999999999998</v>
      </c>
      <c r="N7" s="344">
        <v>70</v>
      </c>
      <c r="O7" s="344">
        <v>3384.93</v>
      </c>
      <c r="P7" s="183">
        <f t="shared" ref="P7:P22" si="13">M7/O7</f>
        <v>5.0984806185061432E-2</v>
      </c>
      <c r="Q7" s="20">
        <v>81</v>
      </c>
      <c r="R7" s="20">
        <v>829</v>
      </c>
      <c r="S7" s="300">
        <v>2055000</v>
      </c>
      <c r="T7" s="35">
        <f>SUM(U7:V7)</f>
        <v>2467956</v>
      </c>
      <c r="U7" s="341">
        <v>2305742</v>
      </c>
      <c r="V7" s="24">
        <v>162214</v>
      </c>
      <c r="W7" s="185">
        <f t="shared" ref="W7:W22" si="14">V7/T7</f>
        <v>6.5728076189364798E-2</v>
      </c>
    </row>
    <row r="8" spans="1:220" s="65" customFormat="1">
      <c r="A8" s="95">
        <v>2016</v>
      </c>
      <c r="B8" s="63">
        <v>22</v>
      </c>
      <c r="C8" s="63">
        <v>1.44</v>
      </c>
      <c r="D8" s="108">
        <f>B8+C8</f>
        <v>23.44</v>
      </c>
      <c r="E8" s="109">
        <f>ROUND((O8/B8), 0)</f>
        <v>116</v>
      </c>
      <c r="F8" s="109">
        <f>ROUND((O8/D8), 0)</f>
        <v>109</v>
      </c>
      <c r="G8" s="63">
        <v>11</v>
      </c>
      <c r="H8" s="63">
        <v>0.54</v>
      </c>
      <c r="I8" s="63">
        <v>97</v>
      </c>
      <c r="J8" s="63">
        <v>140</v>
      </c>
      <c r="K8" s="108">
        <f>I8+J8</f>
        <v>237</v>
      </c>
      <c r="L8" s="63">
        <v>78</v>
      </c>
      <c r="M8" s="109">
        <f>I8+L8</f>
        <v>175</v>
      </c>
      <c r="N8" s="63">
        <v>45</v>
      </c>
      <c r="O8" s="63">
        <v>2560</v>
      </c>
      <c r="P8" s="183">
        <f t="shared" si="13"/>
        <v>6.8359375E-2</v>
      </c>
      <c r="Q8" s="63">
        <v>57</v>
      </c>
      <c r="R8" s="63">
        <v>32</v>
      </c>
      <c r="S8" s="64">
        <v>2045000</v>
      </c>
      <c r="T8" s="110">
        <f>SUM(U8:V8)</f>
        <v>2519669</v>
      </c>
      <c r="U8" s="64">
        <v>2034761</v>
      </c>
      <c r="V8" s="64">
        <v>484908</v>
      </c>
      <c r="W8" s="185">
        <f t="shared" si="14"/>
        <v>0.192449087558723</v>
      </c>
    </row>
    <row r="9" spans="1:220" s="101" customFormat="1">
      <c r="A9" s="95">
        <v>2015</v>
      </c>
      <c r="B9" s="91">
        <v>17</v>
      </c>
      <c r="C9" s="91">
        <v>0.72</v>
      </c>
      <c r="D9" s="81">
        <v>17.72</v>
      </c>
      <c r="E9" s="81">
        <v>10.199999999999999</v>
      </c>
      <c r="F9" s="81">
        <v>9.8000000000000007</v>
      </c>
      <c r="G9" s="111"/>
      <c r="H9" s="111"/>
      <c r="I9" s="91">
        <v>58</v>
      </c>
      <c r="J9" s="91">
        <v>120</v>
      </c>
      <c r="K9" s="81">
        <v>178</v>
      </c>
      <c r="L9" s="91">
        <v>64</v>
      </c>
      <c r="M9" s="81">
        <v>124</v>
      </c>
      <c r="N9" s="91">
        <v>40</v>
      </c>
      <c r="O9" s="91">
        <v>173.33</v>
      </c>
      <c r="P9" s="183">
        <f t="shared" si="13"/>
        <v>0.71539837304563547</v>
      </c>
      <c r="Q9" s="91">
        <v>86</v>
      </c>
      <c r="R9" s="91">
        <v>31</v>
      </c>
      <c r="S9" s="102">
        <v>2053468</v>
      </c>
      <c r="T9" s="103">
        <v>2371990</v>
      </c>
      <c r="U9" s="102">
        <v>2051696</v>
      </c>
      <c r="V9" s="102">
        <v>320294</v>
      </c>
      <c r="W9" s="185">
        <f t="shared" si="14"/>
        <v>0.13503176657574442</v>
      </c>
    </row>
    <row r="10" spans="1:220" s="105" customFormat="1">
      <c r="A10" s="267">
        <v>2014</v>
      </c>
      <c r="B10" s="91">
        <v>18</v>
      </c>
      <c r="C10" s="91">
        <v>1.08</v>
      </c>
      <c r="D10" s="81">
        <v>19.079999999999998</v>
      </c>
      <c r="E10" s="81">
        <v>13</v>
      </c>
      <c r="F10" s="81">
        <v>12</v>
      </c>
      <c r="G10" s="111"/>
      <c r="H10" s="111"/>
      <c r="I10" s="91">
        <v>63</v>
      </c>
      <c r="J10" s="91">
        <v>125</v>
      </c>
      <c r="K10" s="81">
        <v>188</v>
      </c>
      <c r="L10" s="91">
        <v>67</v>
      </c>
      <c r="M10" s="81">
        <v>130</v>
      </c>
      <c r="N10" s="91">
        <v>41</v>
      </c>
      <c r="O10" s="91">
        <v>228.75</v>
      </c>
      <c r="P10" s="183">
        <f t="shared" si="13"/>
        <v>0.56830601092896171</v>
      </c>
      <c r="Q10" s="91">
        <v>87</v>
      </c>
      <c r="R10" s="91">
        <v>34</v>
      </c>
      <c r="S10" s="102">
        <v>1854190</v>
      </c>
      <c r="T10" s="103">
        <v>1946289</v>
      </c>
      <c r="U10" s="102">
        <v>1946289</v>
      </c>
      <c r="V10" s="92">
        <v>109035</v>
      </c>
      <c r="W10" s="185">
        <f t="shared" si="14"/>
        <v>5.6021998788463583E-2</v>
      </c>
    </row>
    <row r="11" spans="1:220" s="71" customFormat="1">
      <c r="A11" s="90">
        <v>2013</v>
      </c>
      <c r="B11" s="353">
        <v>18</v>
      </c>
      <c r="C11" s="353">
        <v>15</v>
      </c>
      <c r="D11" s="108">
        <f>B11+C11</f>
        <v>33</v>
      </c>
      <c r="E11" s="109">
        <f t="shared" ref="E11:E22" si="15">ROUND((O11/B11), 0)</f>
        <v>14</v>
      </c>
      <c r="F11" s="109">
        <f t="shared" ref="F11:F22" si="16">ROUND((O11/D11), 0)</f>
        <v>8</v>
      </c>
      <c r="G11" s="113"/>
      <c r="H11" s="113"/>
      <c r="I11" s="353">
        <v>66</v>
      </c>
      <c r="J11" s="353">
        <v>145</v>
      </c>
      <c r="K11" s="108">
        <f>I11+J11</f>
        <v>211</v>
      </c>
      <c r="L11" s="353">
        <v>79.62</v>
      </c>
      <c r="M11" s="109">
        <f>I11+L11</f>
        <v>145.62</v>
      </c>
      <c r="N11" s="353">
        <v>33</v>
      </c>
      <c r="O11" s="353">
        <v>259.95999999999998</v>
      </c>
      <c r="P11" s="183">
        <f t="shared" si="13"/>
        <v>0.56016310201569475</v>
      </c>
      <c r="Q11" s="353">
        <v>117</v>
      </c>
      <c r="R11" s="353">
        <v>26</v>
      </c>
      <c r="S11" s="112">
        <v>1904058</v>
      </c>
      <c r="T11" s="110">
        <f t="shared" ref="T11:T22" si="17">SUM(U11:V11)</f>
        <v>1799465</v>
      </c>
      <c r="U11" s="112">
        <v>1799465</v>
      </c>
      <c r="V11" s="112">
        <v>0</v>
      </c>
      <c r="W11" s="185">
        <f t="shared" si="14"/>
        <v>0</v>
      </c>
    </row>
    <row r="12" spans="1:220" s="71" customFormat="1">
      <c r="A12" s="90">
        <v>2012</v>
      </c>
      <c r="B12" s="353">
        <v>15</v>
      </c>
      <c r="C12" s="353">
        <v>3</v>
      </c>
      <c r="D12" s="108">
        <f>B12+C12</f>
        <v>18</v>
      </c>
      <c r="E12" s="109">
        <f t="shared" si="15"/>
        <v>16</v>
      </c>
      <c r="F12" s="109">
        <f t="shared" si="16"/>
        <v>14</v>
      </c>
      <c r="G12" s="113"/>
      <c r="H12" s="113"/>
      <c r="I12" s="353">
        <v>87</v>
      </c>
      <c r="J12" s="353">
        <v>170</v>
      </c>
      <c r="K12" s="108">
        <f>I12+J12</f>
        <v>257</v>
      </c>
      <c r="L12" s="353">
        <v>159</v>
      </c>
      <c r="M12" s="109">
        <f>I12+L12</f>
        <v>246</v>
      </c>
      <c r="N12" s="353">
        <v>46</v>
      </c>
      <c r="O12" s="353">
        <v>246</v>
      </c>
      <c r="P12" s="183">
        <f t="shared" si="13"/>
        <v>1</v>
      </c>
      <c r="Q12" s="353">
        <v>134</v>
      </c>
      <c r="R12" s="353">
        <v>0</v>
      </c>
      <c r="S12" s="112">
        <v>1831231</v>
      </c>
      <c r="T12" s="110">
        <f t="shared" si="17"/>
        <v>1750137</v>
      </c>
      <c r="U12" s="112">
        <v>1750137</v>
      </c>
      <c r="V12" s="112">
        <v>0</v>
      </c>
      <c r="W12" s="185">
        <f t="shared" si="14"/>
        <v>0</v>
      </c>
    </row>
    <row r="13" spans="1:220" s="71" customFormat="1">
      <c r="A13" s="90">
        <v>2011</v>
      </c>
      <c r="B13" s="353">
        <v>16</v>
      </c>
      <c r="C13" s="353">
        <v>0</v>
      </c>
      <c r="D13" s="108">
        <f t="shared" ref="D13:D22" si="18">SUM(B13:C13)</f>
        <v>16</v>
      </c>
      <c r="E13" s="109">
        <f t="shared" si="15"/>
        <v>18</v>
      </c>
      <c r="F13" s="109">
        <f t="shared" si="16"/>
        <v>18</v>
      </c>
      <c r="G13" s="113"/>
      <c r="H13" s="113"/>
      <c r="I13" s="353">
        <v>108</v>
      </c>
      <c r="J13" s="353">
        <v>186</v>
      </c>
      <c r="K13" s="108">
        <f t="shared" ref="K13:K22" si="19">SUM(I13:J13)</f>
        <v>294</v>
      </c>
      <c r="L13" s="353">
        <v>176</v>
      </c>
      <c r="M13" s="109">
        <f t="shared" ref="M13:M22" si="20">(I13+L13)</f>
        <v>284</v>
      </c>
      <c r="N13" s="353">
        <v>60</v>
      </c>
      <c r="O13" s="353">
        <v>284</v>
      </c>
      <c r="P13" s="183">
        <f t="shared" si="13"/>
        <v>1</v>
      </c>
      <c r="Q13" s="353">
        <v>152</v>
      </c>
      <c r="R13" s="353">
        <v>0</v>
      </c>
      <c r="S13" s="112">
        <v>1917376</v>
      </c>
      <c r="T13" s="110">
        <f t="shared" si="17"/>
        <v>2040362</v>
      </c>
      <c r="U13" s="112">
        <v>1974222</v>
      </c>
      <c r="V13" s="112">
        <v>66140</v>
      </c>
      <c r="W13" s="185">
        <f t="shared" si="14"/>
        <v>3.2415816409048982E-2</v>
      </c>
    </row>
    <row r="14" spans="1:220" s="71" customFormat="1">
      <c r="A14" s="90">
        <v>2010</v>
      </c>
      <c r="B14" s="353">
        <v>15</v>
      </c>
      <c r="C14" s="353">
        <v>0</v>
      </c>
      <c r="D14" s="108">
        <f t="shared" si="18"/>
        <v>15</v>
      </c>
      <c r="E14" s="109">
        <f t="shared" si="15"/>
        <v>17</v>
      </c>
      <c r="F14" s="109">
        <f t="shared" si="16"/>
        <v>17</v>
      </c>
      <c r="G14" s="113"/>
      <c r="H14" s="113"/>
      <c r="I14" s="353">
        <v>148</v>
      </c>
      <c r="J14" s="353">
        <v>225</v>
      </c>
      <c r="K14" s="108">
        <f t="shared" si="19"/>
        <v>373</v>
      </c>
      <c r="L14" s="353">
        <v>113</v>
      </c>
      <c r="M14" s="109">
        <f t="shared" si="20"/>
        <v>261</v>
      </c>
      <c r="N14" s="353">
        <v>69</v>
      </c>
      <c r="O14" s="353">
        <v>261</v>
      </c>
      <c r="P14" s="183">
        <f t="shared" si="13"/>
        <v>1</v>
      </c>
      <c r="Q14" s="353">
        <v>212</v>
      </c>
      <c r="R14" s="353">
        <v>0</v>
      </c>
      <c r="S14" s="112">
        <v>1917240.37</v>
      </c>
      <c r="T14" s="110">
        <f t="shared" si="17"/>
        <v>1899171.73</v>
      </c>
      <c r="U14" s="112">
        <v>1799171.73</v>
      </c>
      <c r="V14" s="112">
        <v>100000</v>
      </c>
      <c r="W14" s="185">
        <f t="shared" si="14"/>
        <v>5.2654532720956201E-2</v>
      </c>
    </row>
    <row r="15" spans="1:220" s="71" customFormat="1">
      <c r="A15" s="90">
        <v>2009</v>
      </c>
      <c r="B15" s="353">
        <v>15</v>
      </c>
      <c r="C15" s="353">
        <v>0.5</v>
      </c>
      <c r="D15" s="108">
        <f t="shared" si="18"/>
        <v>15.5</v>
      </c>
      <c r="E15" s="109">
        <f t="shared" si="15"/>
        <v>18</v>
      </c>
      <c r="F15" s="109">
        <f t="shared" si="16"/>
        <v>17</v>
      </c>
      <c r="G15" s="113"/>
      <c r="H15" s="113"/>
      <c r="I15" s="353">
        <v>119</v>
      </c>
      <c r="J15" s="353">
        <v>279</v>
      </c>
      <c r="K15" s="108">
        <f t="shared" si="19"/>
        <v>398</v>
      </c>
      <c r="L15" s="353">
        <v>150</v>
      </c>
      <c r="M15" s="109">
        <f t="shared" si="20"/>
        <v>269</v>
      </c>
      <c r="N15" s="353">
        <v>75</v>
      </c>
      <c r="O15" s="353">
        <v>269</v>
      </c>
      <c r="P15" s="183">
        <f t="shared" si="13"/>
        <v>1</v>
      </c>
      <c r="Q15" s="353">
        <v>179</v>
      </c>
      <c r="R15" s="353">
        <v>0</v>
      </c>
      <c r="S15" s="112">
        <v>2245150.88</v>
      </c>
      <c r="T15" s="110">
        <f t="shared" si="17"/>
        <v>2338651</v>
      </c>
      <c r="U15" s="112">
        <v>1932574</v>
      </c>
      <c r="V15" s="112">
        <v>406077</v>
      </c>
      <c r="W15" s="185">
        <f t="shared" si="14"/>
        <v>0.17363728063742731</v>
      </c>
    </row>
    <row r="16" spans="1:220" s="71" customFormat="1">
      <c r="A16" s="90">
        <v>2008</v>
      </c>
      <c r="B16" s="353">
        <v>16</v>
      </c>
      <c r="C16" s="353">
        <v>1.5</v>
      </c>
      <c r="D16" s="108">
        <f t="shared" si="18"/>
        <v>17.5</v>
      </c>
      <c r="E16" s="109">
        <f t="shared" si="15"/>
        <v>20</v>
      </c>
      <c r="F16" s="109">
        <f t="shared" si="16"/>
        <v>19</v>
      </c>
      <c r="G16" s="113"/>
      <c r="H16" s="113"/>
      <c r="I16" s="353">
        <v>88</v>
      </c>
      <c r="J16" s="353">
        <v>359</v>
      </c>
      <c r="K16" s="108">
        <f t="shared" si="19"/>
        <v>447</v>
      </c>
      <c r="L16" s="353">
        <v>238.5</v>
      </c>
      <c r="M16" s="109">
        <f t="shared" si="20"/>
        <v>326.5</v>
      </c>
      <c r="N16" s="353">
        <v>83</v>
      </c>
      <c r="O16" s="353">
        <v>327</v>
      </c>
      <c r="P16" s="183">
        <f t="shared" si="13"/>
        <v>0.99847094801223246</v>
      </c>
      <c r="Q16" s="353">
        <v>167</v>
      </c>
      <c r="R16" s="353">
        <v>0</v>
      </c>
      <c r="S16" s="112">
        <v>2144389</v>
      </c>
      <c r="T16" s="110">
        <f t="shared" si="17"/>
        <v>2256886</v>
      </c>
      <c r="U16" s="112">
        <v>1859188</v>
      </c>
      <c r="V16" s="112">
        <v>397698</v>
      </c>
      <c r="W16" s="185">
        <f t="shared" si="14"/>
        <v>0.17621536931860979</v>
      </c>
    </row>
    <row r="17" spans="1:23" s="71" customFormat="1">
      <c r="A17" s="90">
        <v>2007</v>
      </c>
      <c r="B17" s="353">
        <v>18</v>
      </c>
      <c r="C17" s="353">
        <v>5.25</v>
      </c>
      <c r="D17" s="194">
        <f t="shared" si="18"/>
        <v>23.25</v>
      </c>
      <c r="E17" s="109">
        <f t="shared" si="15"/>
        <v>17</v>
      </c>
      <c r="F17" s="109">
        <f t="shared" si="16"/>
        <v>13</v>
      </c>
      <c r="G17" s="113"/>
      <c r="H17" s="113"/>
      <c r="I17" s="353">
        <v>118</v>
      </c>
      <c r="J17" s="353">
        <v>372</v>
      </c>
      <c r="K17" s="194">
        <f t="shared" si="19"/>
        <v>490</v>
      </c>
      <c r="L17" s="353">
        <v>192</v>
      </c>
      <c r="M17" s="109">
        <f t="shared" si="20"/>
        <v>310</v>
      </c>
      <c r="N17" s="353">
        <v>102</v>
      </c>
      <c r="O17" s="353">
        <v>310</v>
      </c>
      <c r="P17" s="183">
        <f t="shared" si="13"/>
        <v>1</v>
      </c>
      <c r="Q17" s="353">
        <v>186</v>
      </c>
      <c r="R17" s="353">
        <v>0</v>
      </c>
      <c r="S17" s="192">
        <v>2369305</v>
      </c>
      <c r="T17" s="110">
        <f t="shared" si="17"/>
        <v>2576904</v>
      </c>
      <c r="U17" s="192">
        <v>2179222</v>
      </c>
      <c r="V17" s="192">
        <v>397682</v>
      </c>
      <c r="W17" s="185">
        <f t="shared" si="14"/>
        <v>0.15432550067833337</v>
      </c>
    </row>
    <row r="18" spans="1:23" s="71" customFormat="1">
      <c r="A18" s="90">
        <v>2006</v>
      </c>
      <c r="B18" s="353">
        <v>20</v>
      </c>
      <c r="C18" s="353">
        <v>6</v>
      </c>
      <c r="D18" s="194">
        <f t="shared" si="18"/>
        <v>26</v>
      </c>
      <c r="E18" s="109">
        <f t="shared" si="15"/>
        <v>17</v>
      </c>
      <c r="F18" s="109">
        <f t="shared" si="16"/>
        <v>13</v>
      </c>
      <c r="G18" s="113"/>
      <c r="H18" s="113"/>
      <c r="I18" s="353">
        <v>111</v>
      </c>
      <c r="J18" s="353">
        <v>422</v>
      </c>
      <c r="K18" s="194">
        <f t="shared" si="19"/>
        <v>533</v>
      </c>
      <c r="L18" s="353">
        <v>214</v>
      </c>
      <c r="M18" s="109">
        <f t="shared" si="20"/>
        <v>325</v>
      </c>
      <c r="N18" s="353">
        <v>115</v>
      </c>
      <c r="O18" s="353">
        <v>333</v>
      </c>
      <c r="P18" s="183">
        <f t="shared" si="13"/>
        <v>0.97597597597597596</v>
      </c>
      <c r="Q18" s="353">
        <v>170</v>
      </c>
      <c r="R18" s="353">
        <v>38</v>
      </c>
      <c r="S18" s="192">
        <v>2505393.4500000002</v>
      </c>
      <c r="T18" s="110">
        <f t="shared" si="17"/>
        <v>2142303</v>
      </c>
      <c r="U18" s="192">
        <v>1845213</v>
      </c>
      <c r="V18" s="192">
        <v>297090</v>
      </c>
      <c r="W18" s="185">
        <f t="shared" si="14"/>
        <v>0.1386778620951378</v>
      </c>
    </row>
    <row r="19" spans="1:23" s="71" customFormat="1">
      <c r="A19" s="90">
        <v>2005</v>
      </c>
      <c r="B19" s="353">
        <v>17</v>
      </c>
      <c r="C19" s="353">
        <v>4</v>
      </c>
      <c r="D19" s="194">
        <f t="shared" si="18"/>
        <v>21</v>
      </c>
      <c r="E19" s="109">
        <f t="shared" si="15"/>
        <v>21</v>
      </c>
      <c r="F19" s="109">
        <f t="shared" si="16"/>
        <v>17</v>
      </c>
      <c r="G19" s="113"/>
      <c r="H19" s="113"/>
      <c r="I19" s="353">
        <v>128</v>
      </c>
      <c r="J19" s="353">
        <v>423</v>
      </c>
      <c r="K19" s="194">
        <f t="shared" si="19"/>
        <v>551</v>
      </c>
      <c r="L19" s="353">
        <v>217</v>
      </c>
      <c r="M19" s="109">
        <f t="shared" si="20"/>
        <v>345</v>
      </c>
      <c r="N19" s="353">
        <v>111</v>
      </c>
      <c r="O19" s="353">
        <v>351</v>
      </c>
      <c r="P19" s="183">
        <f t="shared" si="13"/>
        <v>0.98290598290598286</v>
      </c>
      <c r="Q19" s="353">
        <v>158</v>
      </c>
      <c r="R19" s="353">
        <v>0</v>
      </c>
      <c r="S19" s="192">
        <v>1787692.78</v>
      </c>
      <c r="T19" s="110">
        <f t="shared" si="17"/>
        <v>1963694.27</v>
      </c>
      <c r="U19" s="192">
        <v>1674591</v>
      </c>
      <c r="V19" s="192">
        <v>289103.27</v>
      </c>
      <c r="W19" s="185">
        <f t="shared" si="14"/>
        <v>0.14722417558411474</v>
      </c>
    </row>
    <row r="20" spans="1:23" s="71" customFormat="1">
      <c r="A20" s="90">
        <v>2004</v>
      </c>
      <c r="B20" s="195">
        <v>17</v>
      </c>
      <c r="C20" s="195">
        <v>3</v>
      </c>
      <c r="D20" s="194">
        <f t="shared" si="18"/>
        <v>20</v>
      </c>
      <c r="E20" s="109">
        <f t="shared" si="15"/>
        <v>20</v>
      </c>
      <c r="F20" s="109">
        <f t="shared" si="16"/>
        <v>17</v>
      </c>
      <c r="G20" s="113"/>
      <c r="H20" s="113"/>
      <c r="I20" s="195">
        <v>119</v>
      </c>
      <c r="J20" s="195">
        <v>398</v>
      </c>
      <c r="K20" s="194">
        <f t="shared" si="19"/>
        <v>517</v>
      </c>
      <c r="L20" s="195">
        <v>206</v>
      </c>
      <c r="M20" s="109">
        <f t="shared" si="20"/>
        <v>325</v>
      </c>
      <c r="N20" s="195">
        <v>85</v>
      </c>
      <c r="O20" s="195">
        <v>332</v>
      </c>
      <c r="P20" s="183">
        <f t="shared" si="13"/>
        <v>0.97891566265060237</v>
      </c>
      <c r="Q20" s="195">
        <v>139</v>
      </c>
      <c r="R20" s="353">
        <v>0</v>
      </c>
      <c r="S20" s="192">
        <v>1317522</v>
      </c>
      <c r="T20" s="110">
        <f t="shared" si="17"/>
        <v>1317522</v>
      </c>
      <c r="U20" s="192">
        <v>1195490</v>
      </c>
      <c r="V20" s="192">
        <v>122032</v>
      </c>
      <c r="W20" s="185">
        <f t="shared" si="14"/>
        <v>9.2622362283134557E-2</v>
      </c>
    </row>
    <row r="21" spans="1:23" s="71" customFormat="1">
      <c r="A21" s="90">
        <v>2003</v>
      </c>
      <c r="B21" s="195">
        <v>16</v>
      </c>
      <c r="C21" s="195">
        <f>ROUND(3.66, 0)</f>
        <v>4</v>
      </c>
      <c r="D21" s="194">
        <f t="shared" si="18"/>
        <v>20</v>
      </c>
      <c r="E21" s="109">
        <f t="shared" si="15"/>
        <v>17</v>
      </c>
      <c r="F21" s="109">
        <f t="shared" si="16"/>
        <v>14</v>
      </c>
      <c r="G21" s="113"/>
      <c r="H21" s="113"/>
      <c r="I21" s="195">
        <v>92</v>
      </c>
      <c r="J21" s="195">
        <v>302</v>
      </c>
      <c r="K21" s="194">
        <f t="shared" si="19"/>
        <v>394</v>
      </c>
      <c r="L21" s="195">
        <f>ROUND(146, 0)</f>
        <v>146</v>
      </c>
      <c r="M21" s="109">
        <f t="shared" si="20"/>
        <v>238</v>
      </c>
      <c r="N21" s="195">
        <v>66</v>
      </c>
      <c r="O21" s="195">
        <v>279</v>
      </c>
      <c r="P21" s="183">
        <f t="shared" si="13"/>
        <v>0.8530465949820788</v>
      </c>
      <c r="Q21" s="195">
        <v>133</v>
      </c>
      <c r="R21" s="353">
        <v>0</v>
      </c>
      <c r="S21" s="192">
        <v>1317521.73</v>
      </c>
      <c r="T21" s="110">
        <f t="shared" si="17"/>
        <v>1380065.99</v>
      </c>
      <c r="U21" s="192">
        <v>1258033.9099999999</v>
      </c>
      <c r="V21" s="192">
        <v>122032.08</v>
      </c>
      <c r="W21" s="185">
        <f t="shared" si="14"/>
        <v>8.8424815106124016E-2</v>
      </c>
    </row>
    <row r="22" spans="1:23" s="71" customFormat="1">
      <c r="A22" s="90">
        <v>2002</v>
      </c>
      <c r="B22" s="195">
        <v>17</v>
      </c>
      <c r="C22" s="195">
        <f>ROUND(1.5, 0)</f>
        <v>2</v>
      </c>
      <c r="D22" s="194">
        <f t="shared" si="18"/>
        <v>19</v>
      </c>
      <c r="E22" s="109">
        <f t="shared" si="15"/>
        <v>19</v>
      </c>
      <c r="F22" s="109">
        <f t="shared" si="16"/>
        <v>17</v>
      </c>
      <c r="G22" s="113"/>
      <c r="H22" s="113"/>
      <c r="I22" s="195">
        <v>64</v>
      </c>
      <c r="J22" s="195">
        <v>278</v>
      </c>
      <c r="K22" s="194">
        <f t="shared" si="19"/>
        <v>342</v>
      </c>
      <c r="L22" s="195">
        <v>132</v>
      </c>
      <c r="M22" s="109">
        <f t="shared" si="20"/>
        <v>196</v>
      </c>
      <c r="N22" s="195">
        <v>50</v>
      </c>
      <c r="O22" s="195">
        <v>325</v>
      </c>
      <c r="P22" s="183">
        <f t="shared" si="13"/>
        <v>0.60307692307692307</v>
      </c>
      <c r="Q22" s="195">
        <v>182</v>
      </c>
      <c r="R22" s="353">
        <v>0</v>
      </c>
      <c r="S22" s="192">
        <v>1432023</v>
      </c>
      <c r="T22" s="110">
        <f t="shared" si="17"/>
        <v>1626632</v>
      </c>
      <c r="U22" s="192">
        <v>1465717</v>
      </c>
      <c r="V22" s="192">
        <v>160915</v>
      </c>
      <c r="W22" s="185">
        <f t="shared" si="14"/>
        <v>9.8925263981035655E-2</v>
      </c>
    </row>
    <row r="23" spans="1:23" s="71" customFormat="1">
      <c r="A23" s="654" t="s">
        <v>117</v>
      </c>
      <c r="B23" s="654"/>
      <c r="C23" s="654"/>
      <c r="D23" s="654"/>
      <c r="E23" s="654"/>
      <c r="F23" s="654"/>
      <c r="G23" s="654"/>
      <c r="H23" s="654"/>
      <c r="I23" s="654"/>
      <c r="J23" s="654"/>
      <c r="K23" s="654"/>
      <c r="L23" s="654"/>
      <c r="M23" s="654"/>
      <c r="N23" s="654"/>
      <c r="O23" s="654"/>
      <c r="P23" s="654"/>
      <c r="Q23" s="654"/>
      <c r="R23" s="654"/>
      <c r="S23" s="654"/>
      <c r="T23" s="654"/>
      <c r="U23" s="654"/>
      <c r="V23" s="654"/>
      <c r="W23" s="654"/>
    </row>
    <row r="24" spans="1:23" s="71" customFormat="1">
      <c r="A24" s="708" t="s">
        <v>118</v>
      </c>
      <c r="B24" s="708"/>
      <c r="C24" s="708"/>
      <c r="D24" s="708"/>
      <c r="E24" s="708"/>
      <c r="F24" s="708"/>
      <c r="G24" s="708"/>
      <c r="H24" s="708"/>
      <c r="I24" s="708"/>
      <c r="J24" s="708"/>
      <c r="K24" s="708"/>
      <c r="L24" s="708"/>
      <c r="M24" s="708"/>
      <c r="N24" s="708"/>
      <c r="O24" s="708"/>
      <c r="P24" s="708"/>
      <c r="Q24" s="708"/>
      <c r="R24" s="708"/>
      <c r="S24" s="708"/>
      <c r="T24" s="708"/>
      <c r="U24" s="708"/>
      <c r="V24" s="708"/>
      <c r="W24" s="708"/>
    </row>
    <row r="25" spans="1:23" s="71" customFormat="1">
      <c r="A25" s="654" t="s">
        <v>119</v>
      </c>
      <c r="B25" s="654"/>
      <c r="C25" s="654"/>
      <c r="D25" s="654"/>
      <c r="E25" s="654"/>
      <c r="F25" s="654"/>
      <c r="G25" s="654"/>
      <c r="H25" s="654"/>
      <c r="I25" s="654"/>
      <c r="J25" s="654"/>
      <c r="K25" s="654"/>
      <c r="L25" s="654"/>
      <c r="M25" s="654"/>
      <c r="N25" s="654"/>
      <c r="O25" s="654"/>
      <c r="P25" s="654"/>
      <c r="Q25" s="654"/>
      <c r="R25" s="654"/>
      <c r="S25" s="654"/>
      <c r="T25" s="654"/>
      <c r="U25" s="654"/>
      <c r="V25" s="654"/>
      <c r="W25" s="654"/>
    </row>
    <row r="26" spans="1:23" s="71" customFormat="1">
      <c r="A26" s="708" t="s">
        <v>120</v>
      </c>
      <c r="B26" s="708"/>
      <c r="C26" s="708"/>
      <c r="D26" s="708"/>
      <c r="E26" s="708"/>
      <c r="F26" s="708"/>
      <c r="G26" s="708"/>
      <c r="H26" s="708"/>
      <c r="I26" s="708"/>
      <c r="J26" s="708"/>
      <c r="K26" s="708"/>
      <c r="L26" s="708"/>
      <c r="M26" s="708"/>
      <c r="N26" s="708"/>
      <c r="O26" s="708"/>
      <c r="P26" s="708"/>
      <c r="Q26" s="708"/>
      <c r="R26" s="708"/>
      <c r="S26" s="708"/>
      <c r="T26" s="708"/>
      <c r="U26" s="708"/>
      <c r="V26" s="708"/>
      <c r="W26" s="708"/>
    </row>
    <row r="27" spans="1:23" s="13" customFormat="1">
      <c r="A27" s="655" t="s">
        <v>144</v>
      </c>
      <c r="B27" s="667"/>
      <c r="C27" s="667"/>
      <c r="D27" s="667"/>
      <c r="E27" s="667"/>
      <c r="F27" s="667"/>
      <c r="G27" s="667"/>
      <c r="H27" s="667"/>
      <c r="I27" s="667"/>
      <c r="J27" s="667"/>
      <c r="K27" s="667"/>
      <c r="L27" s="667"/>
      <c r="M27" s="667"/>
      <c r="N27" s="667"/>
      <c r="O27" s="667"/>
      <c r="P27" s="667"/>
      <c r="Q27" s="667"/>
      <c r="R27" s="667"/>
      <c r="S27" s="667"/>
      <c r="T27" s="667"/>
      <c r="U27" s="667"/>
      <c r="V27" s="667"/>
      <c r="W27" s="667"/>
    </row>
    <row r="28" spans="1:23" s="14" customFormat="1">
      <c r="A28" s="14" t="s">
        <v>207</v>
      </c>
      <c r="G28"/>
      <c r="H28"/>
    </row>
    <row r="29" spans="1:23" s="13" customFormat="1">
      <c r="G29" s="26"/>
      <c r="H29" s="26"/>
    </row>
    <row r="30" spans="1:23" s="14" customFormat="1">
      <c r="G30"/>
      <c r="H30"/>
    </row>
  </sheetData>
  <mergeCells count="5">
    <mergeCell ref="A27:W27"/>
    <mergeCell ref="A26:W26"/>
    <mergeCell ref="A24:W24"/>
    <mergeCell ref="A23:W23"/>
    <mergeCell ref="A25:W25"/>
  </mergeCells>
  <printOptions headings="1" gridLines="1"/>
  <pageMargins left="0.5" right="0.5" top="0.5" bottom="0.5" header="0" footer="0"/>
  <pageSetup paperSize="5" scale="66"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L33"/>
  <sheetViews>
    <sheetView workbookViewId="0">
      <selection activeCell="E29" sqref="E29"/>
    </sheetView>
  </sheetViews>
  <sheetFormatPr defaultColWidth="8.85546875" defaultRowHeight="15"/>
  <cols>
    <col min="1" max="1" width="10" customWidth="1"/>
    <col min="2" max="2" width="7.42578125"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1.42578125" customWidth="1"/>
    <col min="15" max="15" width="13.42578125" bestFit="1" customWidth="1"/>
    <col min="16" max="16" width="14.28515625" customWidth="1"/>
    <col min="17" max="17" width="12.42578125" bestFit="1" customWidth="1"/>
    <col min="18" max="18" width="9" bestFit="1" customWidth="1"/>
    <col min="19" max="19" width="12.140625" customWidth="1"/>
    <col min="20" max="20" width="11.42578125" customWidth="1"/>
    <col min="21" max="21" width="11.85546875" customWidth="1"/>
    <col min="22" max="22" width="10.85546875" bestFit="1" customWidth="1"/>
    <col min="23" max="23" width="12.85546875" bestFit="1" customWidth="1"/>
    <col min="24" max="61" width="8.85546875" style="376"/>
  </cols>
  <sheetData>
    <row r="1" spans="1:220" s="1" customFormat="1" ht="18.75">
      <c r="A1" s="1" t="s">
        <v>2</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220">
      <c r="A3" s="417">
        <v>2021</v>
      </c>
      <c r="B3" s="412">
        <v>22</v>
      </c>
      <c r="C3" s="20">
        <v>10.199999999999999</v>
      </c>
      <c r="D3" s="410">
        <f>SUM(B3:C3)</f>
        <v>32.200000000000003</v>
      </c>
      <c r="E3" s="411">
        <f>ROUND((O3/B3), 0)</f>
        <v>54</v>
      </c>
      <c r="F3" s="411">
        <f>ROUND((O3/D3),0)</f>
        <v>37</v>
      </c>
      <c r="G3" s="412">
        <v>14</v>
      </c>
      <c r="H3" s="412">
        <v>6</v>
      </c>
      <c r="I3" s="412">
        <v>95</v>
      </c>
      <c r="J3" s="412">
        <v>160</v>
      </c>
      <c r="K3" s="410">
        <f t="shared" ref="K3" si="0">SUM(I3:J3)</f>
        <v>255</v>
      </c>
      <c r="L3" s="412">
        <v>88.04</v>
      </c>
      <c r="M3" s="411">
        <f>(I3+L3)</f>
        <v>183.04000000000002</v>
      </c>
      <c r="N3" s="412">
        <v>72</v>
      </c>
      <c r="O3" s="412">
        <v>1189.71</v>
      </c>
      <c r="P3" s="413">
        <f t="shared" ref="P3" si="1">M3/O3</f>
        <v>0.15385261954593979</v>
      </c>
      <c r="Q3" s="412">
        <v>72</v>
      </c>
      <c r="R3" s="412">
        <v>172</v>
      </c>
      <c r="S3" s="414">
        <v>5226818</v>
      </c>
      <c r="T3" s="415">
        <f>SUM(U3:V3)</f>
        <v>8818116</v>
      </c>
      <c r="U3" s="414">
        <v>7699148</v>
      </c>
      <c r="V3" s="414">
        <v>1118968</v>
      </c>
      <c r="W3" s="335">
        <f>V3/T3</f>
        <v>0.12689422547854892</v>
      </c>
      <c r="X3"/>
      <c r="Y3"/>
      <c r="Z3"/>
      <c r="AA3"/>
      <c r="AB3"/>
      <c r="AC3"/>
      <c r="AD3"/>
      <c r="AE3"/>
      <c r="AF3"/>
      <c r="AG3"/>
      <c r="AH3"/>
      <c r="AI3"/>
      <c r="AJ3"/>
      <c r="AK3"/>
      <c r="AL3"/>
      <c r="AM3"/>
      <c r="AN3"/>
      <c r="AO3"/>
      <c r="AP3"/>
      <c r="AQ3"/>
      <c r="AR3"/>
      <c r="AS3"/>
      <c r="AT3"/>
      <c r="AU3"/>
      <c r="AV3"/>
      <c r="AW3"/>
      <c r="AX3"/>
      <c r="AY3"/>
      <c r="AZ3"/>
      <c r="BA3"/>
      <c r="BB3"/>
      <c r="BC3"/>
      <c r="BD3"/>
      <c r="BE3"/>
      <c r="BF3"/>
      <c r="BG3"/>
      <c r="BH3"/>
      <c r="BI3"/>
    </row>
    <row r="4" spans="1:220">
      <c r="A4" s="417">
        <v>2020</v>
      </c>
      <c r="B4" s="412">
        <v>21</v>
      </c>
      <c r="C4" s="20">
        <v>9.1999999999999993</v>
      </c>
      <c r="D4" s="410">
        <f>SUM(B4:C4)</f>
        <v>30.2</v>
      </c>
      <c r="E4" s="411">
        <f>ROUND((O4/B4), 0)</f>
        <v>34</v>
      </c>
      <c r="F4" s="411">
        <f>ROUND((O4/D4),0)</f>
        <v>24</v>
      </c>
      <c r="G4" s="412">
        <v>13</v>
      </c>
      <c r="H4" s="412">
        <v>5</v>
      </c>
      <c r="I4" s="412">
        <v>74</v>
      </c>
      <c r="J4" s="412">
        <v>122</v>
      </c>
      <c r="K4" s="410">
        <f t="shared" ref="K4" si="2">SUM(I4:J4)</f>
        <v>196</v>
      </c>
      <c r="L4" s="412">
        <v>71.33</v>
      </c>
      <c r="M4" s="411">
        <f>(I4+L4)</f>
        <v>145.32999999999998</v>
      </c>
      <c r="N4" s="412">
        <v>62</v>
      </c>
      <c r="O4" s="412">
        <v>716.82</v>
      </c>
      <c r="P4" s="413">
        <f t="shared" ref="P4" si="3">M4/O4</f>
        <v>0.20274266901035123</v>
      </c>
      <c r="Q4" s="412">
        <v>59</v>
      </c>
      <c r="R4" s="412">
        <v>194</v>
      </c>
      <c r="S4" s="414">
        <v>6251069</v>
      </c>
      <c r="T4" s="415">
        <f>SUM(U4:V4)</f>
        <v>6065473</v>
      </c>
      <c r="U4" s="414">
        <v>2277582</v>
      </c>
      <c r="V4" s="414">
        <v>3787891</v>
      </c>
      <c r="W4" s="335">
        <f>V4/T4</f>
        <v>0.62450051298554954</v>
      </c>
      <c r="X4"/>
      <c r="Y4"/>
      <c r="Z4"/>
      <c r="AA4"/>
      <c r="AB4"/>
      <c r="AC4"/>
      <c r="AD4"/>
      <c r="AE4"/>
      <c r="AF4"/>
      <c r="AG4"/>
      <c r="AH4"/>
      <c r="AI4"/>
      <c r="AJ4"/>
      <c r="AK4"/>
      <c r="AL4"/>
      <c r="AM4"/>
      <c r="AN4"/>
      <c r="AO4"/>
      <c r="AP4"/>
      <c r="AQ4"/>
      <c r="AR4"/>
      <c r="AS4"/>
      <c r="AT4"/>
      <c r="AU4"/>
      <c r="AV4"/>
      <c r="AW4"/>
      <c r="AX4"/>
      <c r="AY4"/>
      <c r="AZ4"/>
      <c r="BA4"/>
      <c r="BB4"/>
      <c r="BC4"/>
      <c r="BD4"/>
      <c r="BE4"/>
      <c r="BF4"/>
      <c r="BG4"/>
      <c r="BH4"/>
      <c r="BI4"/>
    </row>
    <row r="5" spans="1:220">
      <c r="A5" s="417">
        <v>2019</v>
      </c>
      <c r="B5" s="412">
        <v>19</v>
      </c>
      <c r="C5" s="409">
        <v>9.4</v>
      </c>
      <c r="D5" s="410">
        <v>28.4</v>
      </c>
      <c r="E5" s="411">
        <v>36</v>
      </c>
      <c r="F5" s="411">
        <v>24</v>
      </c>
      <c r="G5" s="412">
        <v>9</v>
      </c>
      <c r="H5" s="412">
        <v>9</v>
      </c>
      <c r="I5" s="412">
        <v>92</v>
      </c>
      <c r="J5" s="412">
        <v>104</v>
      </c>
      <c r="K5" s="410">
        <v>196</v>
      </c>
      <c r="L5" s="412">
        <v>55.15</v>
      </c>
      <c r="M5" s="410">
        <v>131.19999999999999</v>
      </c>
      <c r="N5" s="412">
        <v>48</v>
      </c>
      <c r="O5" s="412">
        <v>676.02</v>
      </c>
      <c r="P5" s="413">
        <v>0.19409999999999999</v>
      </c>
      <c r="Q5" s="412">
        <v>69</v>
      </c>
      <c r="R5" s="412">
        <v>173</v>
      </c>
      <c r="S5" s="414">
        <v>5617402</v>
      </c>
      <c r="T5" s="415">
        <v>6705165</v>
      </c>
      <c r="U5" s="414">
        <v>2180437</v>
      </c>
      <c r="V5" s="414">
        <v>4524728</v>
      </c>
      <c r="W5" s="335">
        <f>V5/T5</f>
        <v>0.67481232751170184</v>
      </c>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220" s="17" customFormat="1">
      <c r="A6" s="33">
        <v>2018</v>
      </c>
      <c r="B6" s="20">
        <v>19</v>
      </c>
      <c r="C6" s="20">
        <v>9.0500000000000007</v>
      </c>
      <c r="D6" s="29">
        <f>SUM(B6:C6)</f>
        <v>28.05</v>
      </c>
      <c r="E6" s="172">
        <f>ROUND((O6/B6), 0)</f>
        <v>32</v>
      </c>
      <c r="F6" s="172">
        <f>ROUND((O6/D6), 0)</f>
        <v>22</v>
      </c>
      <c r="G6" s="20">
        <v>6</v>
      </c>
      <c r="H6" s="20">
        <v>6</v>
      </c>
      <c r="I6" s="20">
        <v>69</v>
      </c>
      <c r="J6" s="20">
        <v>101</v>
      </c>
      <c r="K6" s="29">
        <f t="shared" ref="K6" si="4">SUM(I6:J6)</f>
        <v>170</v>
      </c>
      <c r="L6" s="20">
        <v>52.75</v>
      </c>
      <c r="M6" s="172">
        <f>(I6+L6)</f>
        <v>121.75</v>
      </c>
      <c r="N6" s="20">
        <v>47</v>
      </c>
      <c r="O6" s="20">
        <v>606</v>
      </c>
      <c r="P6" s="183">
        <f>M6/O6</f>
        <v>0.20090759075907591</v>
      </c>
      <c r="Q6" s="20">
        <v>59</v>
      </c>
      <c r="R6" s="20">
        <v>131</v>
      </c>
      <c r="S6" s="24">
        <v>4561721</v>
      </c>
      <c r="T6" s="30">
        <f>SUM(U6:V6)</f>
        <v>4563656</v>
      </c>
      <c r="U6" s="24">
        <v>2375508</v>
      </c>
      <c r="V6" s="24">
        <v>2188148</v>
      </c>
      <c r="W6" s="185">
        <f>V6/T6</f>
        <v>0.47947259828523447</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7" customFormat="1">
      <c r="A7" s="33">
        <v>2017</v>
      </c>
      <c r="B7" s="20">
        <v>17</v>
      </c>
      <c r="C7" s="20">
        <v>3.5</v>
      </c>
      <c r="D7" s="29">
        <f>SUM(B7:C7)</f>
        <v>20.5</v>
      </c>
      <c r="E7" s="172">
        <f>ROUND((O7/B7), 0)</f>
        <v>35</v>
      </c>
      <c r="F7" s="172">
        <f>ROUND((O7/D7), 0)</f>
        <v>29</v>
      </c>
      <c r="G7" s="20">
        <v>7</v>
      </c>
      <c r="H7" s="20">
        <v>6</v>
      </c>
      <c r="I7" s="20">
        <v>68</v>
      </c>
      <c r="J7" s="20">
        <v>118</v>
      </c>
      <c r="K7" s="29">
        <f>SUM(I7:J7)</f>
        <v>186</v>
      </c>
      <c r="L7" s="20">
        <v>67.010000000000005</v>
      </c>
      <c r="M7" s="172">
        <f>I7+L7</f>
        <v>135.01</v>
      </c>
      <c r="N7" s="20">
        <v>64</v>
      </c>
      <c r="O7" s="20">
        <v>588</v>
      </c>
      <c r="P7" s="183">
        <f t="shared" ref="P7:P22" si="5">M7/O7</f>
        <v>0.22960884353741495</v>
      </c>
      <c r="Q7" s="20">
        <v>56</v>
      </c>
      <c r="R7" s="20">
        <v>85</v>
      </c>
      <c r="S7" s="341">
        <v>3907783</v>
      </c>
      <c r="T7" s="30">
        <f>SUM(U7:V7)</f>
        <v>3907783</v>
      </c>
      <c r="U7" s="341">
        <v>2293758</v>
      </c>
      <c r="V7" s="341">
        <v>1614025</v>
      </c>
      <c r="W7" s="185">
        <f t="shared" ref="W7:W22" si="6">V7/T7</f>
        <v>0.41302830786663436</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row>
    <row r="8" spans="1:220" s="75" customFormat="1">
      <c r="A8" s="95">
        <v>2016</v>
      </c>
      <c r="B8" s="63">
        <v>17</v>
      </c>
      <c r="C8" s="63">
        <v>3</v>
      </c>
      <c r="D8" s="108">
        <f>SUM(B8:C8)</f>
        <v>20</v>
      </c>
      <c r="E8" s="109">
        <f>ROUND((O8/B8), 0)</f>
        <v>27</v>
      </c>
      <c r="F8" s="109">
        <f>ROUND((O8/D8), 0)</f>
        <v>23</v>
      </c>
      <c r="G8" s="63">
        <v>7</v>
      </c>
      <c r="H8" s="63">
        <v>2</v>
      </c>
      <c r="I8" s="63">
        <v>57</v>
      </c>
      <c r="J8" s="63">
        <v>105</v>
      </c>
      <c r="K8" s="108">
        <f>SUM(I8:J8)</f>
        <v>162</v>
      </c>
      <c r="L8" s="63">
        <v>59.79</v>
      </c>
      <c r="M8" s="109">
        <f>I8+L8</f>
        <v>116.78999999999999</v>
      </c>
      <c r="N8" s="63">
        <v>54</v>
      </c>
      <c r="O8" s="63">
        <v>452</v>
      </c>
      <c r="P8" s="183">
        <f t="shared" si="5"/>
        <v>0.25838495575221238</v>
      </c>
      <c r="Q8" s="63">
        <v>60</v>
      </c>
      <c r="R8" s="63">
        <v>41</v>
      </c>
      <c r="S8" s="197">
        <v>4883324</v>
      </c>
      <c r="T8" s="110">
        <f>SUM(U8:V8)</f>
        <v>4536444</v>
      </c>
      <c r="U8" s="197">
        <v>4071224</v>
      </c>
      <c r="V8" s="197">
        <v>465220</v>
      </c>
      <c r="W8" s="185">
        <f t="shared" si="6"/>
        <v>0.10255169026664938</v>
      </c>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row>
    <row r="9" spans="1:220" s="168" customFormat="1">
      <c r="A9" s="143">
        <v>2015</v>
      </c>
      <c r="B9" s="83">
        <v>14</v>
      </c>
      <c r="C9" s="83">
        <v>3</v>
      </c>
      <c r="D9" s="142">
        <v>17</v>
      </c>
      <c r="E9" s="198">
        <v>41.571428571428569</v>
      </c>
      <c r="F9" s="198">
        <v>34.235294117647058</v>
      </c>
      <c r="G9" s="111"/>
      <c r="H9" s="111"/>
      <c r="I9" s="199">
        <v>58</v>
      </c>
      <c r="J9" s="199">
        <v>85</v>
      </c>
      <c r="K9" s="200">
        <v>143</v>
      </c>
      <c r="L9" s="199">
        <v>50</v>
      </c>
      <c r="M9" s="200">
        <v>108</v>
      </c>
      <c r="N9" s="199">
        <v>44</v>
      </c>
      <c r="O9" s="83">
        <v>582</v>
      </c>
      <c r="P9" s="183">
        <f t="shared" si="5"/>
        <v>0.18556701030927836</v>
      </c>
      <c r="Q9" s="199">
        <v>91</v>
      </c>
      <c r="R9" s="199">
        <v>45</v>
      </c>
      <c r="S9" s="201">
        <v>2924643</v>
      </c>
      <c r="T9" s="202">
        <v>2791737</v>
      </c>
      <c r="U9" s="201">
        <v>1729490</v>
      </c>
      <c r="V9" s="201">
        <v>1062247</v>
      </c>
      <c r="W9" s="185">
        <f t="shared" si="6"/>
        <v>0.38049680181191853</v>
      </c>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220" s="71" customFormat="1">
      <c r="A10" s="144">
        <v>2014</v>
      </c>
      <c r="B10" s="161">
        <v>14</v>
      </c>
      <c r="C10" s="161">
        <v>2</v>
      </c>
      <c r="D10" s="158">
        <v>16</v>
      </c>
      <c r="E10" s="203">
        <v>49.218571428571423</v>
      </c>
      <c r="F10" s="203">
        <v>43.066249999999997</v>
      </c>
      <c r="G10" s="111"/>
      <c r="H10" s="111"/>
      <c r="I10" s="204">
        <v>58</v>
      </c>
      <c r="J10" s="204">
        <v>90</v>
      </c>
      <c r="K10" s="203">
        <v>148</v>
      </c>
      <c r="L10" s="204">
        <v>51</v>
      </c>
      <c r="M10" s="203">
        <v>109</v>
      </c>
      <c r="N10" s="204">
        <v>44</v>
      </c>
      <c r="O10" s="204">
        <v>689.06</v>
      </c>
      <c r="P10" s="183">
        <f t="shared" si="5"/>
        <v>0.15818651496241257</v>
      </c>
      <c r="Q10" s="161">
        <v>76</v>
      </c>
      <c r="R10" s="161">
        <v>27</v>
      </c>
      <c r="S10" s="205">
        <v>3720036</v>
      </c>
      <c r="T10" s="206">
        <v>3645987</v>
      </c>
      <c r="U10" s="205">
        <v>2289835</v>
      </c>
      <c r="V10" s="205">
        <v>1356152</v>
      </c>
      <c r="W10" s="185">
        <f t="shared" si="6"/>
        <v>0.37195744252516533</v>
      </c>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row>
    <row r="11" spans="1:220" s="71" customFormat="1">
      <c r="A11" s="95" t="s">
        <v>80</v>
      </c>
      <c r="B11" s="361">
        <v>13</v>
      </c>
      <c r="C11" s="361">
        <v>1.95</v>
      </c>
      <c r="D11" s="108">
        <f t="shared" ref="D11:D22" si="7">SUM(B11:C11)</f>
        <v>14.95</v>
      </c>
      <c r="E11" s="109">
        <f t="shared" ref="E11:E22" si="8">ROUND((O11/B11), 0)</f>
        <v>12</v>
      </c>
      <c r="F11" s="109">
        <f t="shared" ref="F11:F22" si="9">ROUND((O11/D11), 0)</f>
        <v>10</v>
      </c>
      <c r="G11" s="113"/>
      <c r="H11" s="113"/>
      <c r="I11" s="361">
        <v>64</v>
      </c>
      <c r="J11" s="361">
        <v>180</v>
      </c>
      <c r="K11" s="108">
        <f t="shared" ref="K11:K22" si="10">SUM(I11:J11)</f>
        <v>244</v>
      </c>
      <c r="L11" s="361">
        <v>68.8</v>
      </c>
      <c r="M11" s="109">
        <f>I11+L11</f>
        <v>132.80000000000001</v>
      </c>
      <c r="N11" s="361">
        <v>52</v>
      </c>
      <c r="O11" s="361">
        <v>153.05000000000001</v>
      </c>
      <c r="P11" s="183">
        <f t="shared" si="5"/>
        <v>0.8676902972884678</v>
      </c>
      <c r="Q11" s="361">
        <v>77</v>
      </c>
      <c r="R11" s="361">
        <v>1</v>
      </c>
      <c r="S11" s="112">
        <v>3384956</v>
      </c>
      <c r="T11" s="110">
        <f t="shared" ref="T11:T22" si="11">SUM(U11:V11)</f>
        <v>3491157</v>
      </c>
      <c r="U11" s="112">
        <v>2035854</v>
      </c>
      <c r="V11" s="112">
        <v>1455303</v>
      </c>
      <c r="W11" s="185">
        <f t="shared" si="6"/>
        <v>0.41685406872277586</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row>
    <row r="12" spans="1:220" s="71" customFormat="1">
      <c r="A12" s="90">
        <v>2012</v>
      </c>
      <c r="B12" s="361">
        <v>11</v>
      </c>
      <c r="C12" s="361">
        <v>1.5</v>
      </c>
      <c r="D12" s="108">
        <f t="shared" si="7"/>
        <v>12.5</v>
      </c>
      <c r="E12" s="109">
        <f t="shared" si="8"/>
        <v>14</v>
      </c>
      <c r="F12" s="109">
        <f t="shared" si="9"/>
        <v>12</v>
      </c>
      <c r="G12" s="113"/>
      <c r="H12" s="113"/>
      <c r="I12" s="361">
        <v>69</v>
      </c>
      <c r="J12" s="361">
        <v>136</v>
      </c>
      <c r="K12" s="108">
        <f t="shared" si="10"/>
        <v>205</v>
      </c>
      <c r="L12" s="361">
        <v>59.34</v>
      </c>
      <c r="M12" s="109">
        <f>I12+L12</f>
        <v>128.34</v>
      </c>
      <c r="N12" s="361">
        <v>26</v>
      </c>
      <c r="O12" s="361">
        <v>152.34</v>
      </c>
      <c r="P12" s="183">
        <f t="shared" si="5"/>
        <v>0.84245766049625836</v>
      </c>
      <c r="Q12" s="361">
        <v>108</v>
      </c>
      <c r="R12" s="361">
        <v>0</v>
      </c>
      <c r="S12" s="112">
        <v>3102832</v>
      </c>
      <c r="T12" s="110">
        <f t="shared" si="11"/>
        <v>3055722</v>
      </c>
      <c r="U12" s="112">
        <v>1734316</v>
      </c>
      <c r="V12" s="112">
        <v>1321406</v>
      </c>
      <c r="W12" s="185">
        <f t="shared" si="6"/>
        <v>0.43243658945414537</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1:220" s="71" customFormat="1">
      <c r="A13" s="90" t="s">
        <v>81</v>
      </c>
      <c r="B13" s="361">
        <v>11</v>
      </c>
      <c r="C13" s="361">
        <v>2.5</v>
      </c>
      <c r="D13" s="108">
        <f t="shared" si="7"/>
        <v>13.5</v>
      </c>
      <c r="E13" s="109">
        <f t="shared" si="8"/>
        <v>15</v>
      </c>
      <c r="F13" s="109">
        <f t="shared" si="9"/>
        <v>12</v>
      </c>
      <c r="G13" s="113"/>
      <c r="H13" s="113"/>
      <c r="I13" s="361">
        <v>70</v>
      </c>
      <c r="J13" s="361">
        <v>162</v>
      </c>
      <c r="K13" s="108">
        <f t="shared" si="10"/>
        <v>232</v>
      </c>
      <c r="L13" s="361">
        <v>94</v>
      </c>
      <c r="M13" s="109">
        <f t="shared" ref="M13:M22" si="12">(I13+L13)</f>
        <v>164</v>
      </c>
      <c r="N13" s="361">
        <v>45</v>
      </c>
      <c r="O13" s="361">
        <v>168</v>
      </c>
      <c r="P13" s="183">
        <f t="shared" si="5"/>
        <v>0.97619047619047616</v>
      </c>
      <c r="Q13" s="361">
        <v>112</v>
      </c>
      <c r="R13" s="361">
        <v>1</v>
      </c>
      <c r="S13" s="112">
        <v>3348771</v>
      </c>
      <c r="T13" s="110">
        <f t="shared" si="11"/>
        <v>3549279</v>
      </c>
      <c r="U13" s="112">
        <v>1725591</v>
      </c>
      <c r="V13" s="112">
        <v>1823688</v>
      </c>
      <c r="W13" s="185">
        <f t="shared" si="6"/>
        <v>0.51381928555067102</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1:220" s="71" customFormat="1">
      <c r="A14" s="90" t="s">
        <v>82</v>
      </c>
      <c r="B14" s="361">
        <v>11</v>
      </c>
      <c r="C14" s="361">
        <v>2.25</v>
      </c>
      <c r="D14" s="108">
        <f t="shared" si="7"/>
        <v>13.25</v>
      </c>
      <c r="E14" s="109">
        <f t="shared" si="8"/>
        <v>18</v>
      </c>
      <c r="F14" s="109">
        <f t="shared" si="9"/>
        <v>15</v>
      </c>
      <c r="G14" s="113"/>
      <c r="H14" s="113"/>
      <c r="I14" s="361">
        <v>94</v>
      </c>
      <c r="J14" s="361">
        <v>170</v>
      </c>
      <c r="K14" s="108">
        <f t="shared" si="10"/>
        <v>264</v>
      </c>
      <c r="L14" s="361">
        <v>97.49</v>
      </c>
      <c r="M14" s="109">
        <f t="shared" si="12"/>
        <v>191.49</v>
      </c>
      <c r="N14" s="361">
        <v>44</v>
      </c>
      <c r="O14" s="361">
        <v>196.25</v>
      </c>
      <c r="P14" s="183">
        <f t="shared" si="5"/>
        <v>0.97574522292993637</v>
      </c>
      <c r="Q14" s="361">
        <v>122</v>
      </c>
      <c r="R14" s="361">
        <v>1</v>
      </c>
      <c r="S14" s="112">
        <v>3446765.4621919999</v>
      </c>
      <c r="T14" s="110">
        <f t="shared" si="11"/>
        <v>3844142</v>
      </c>
      <c r="U14" s="112">
        <v>1622528</v>
      </c>
      <c r="V14" s="112">
        <v>2221614</v>
      </c>
      <c r="W14" s="185">
        <f t="shared" si="6"/>
        <v>0.57792193940806558</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1:220" s="71" customFormat="1">
      <c r="A15" s="90" t="s">
        <v>83</v>
      </c>
      <c r="B15" s="361">
        <v>11</v>
      </c>
      <c r="C15" s="361">
        <v>2.75</v>
      </c>
      <c r="D15" s="108">
        <f t="shared" si="7"/>
        <v>13.75</v>
      </c>
      <c r="E15" s="109">
        <f t="shared" si="8"/>
        <v>19</v>
      </c>
      <c r="F15" s="109">
        <f t="shared" si="9"/>
        <v>15</v>
      </c>
      <c r="G15" s="113"/>
      <c r="H15" s="113"/>
      <c r="I15" s="361">
        <v>109</v>
      </c>
      <c r="J15" s="361">
        <v>186</v>
      </c>
      <c r="K15" s="108">
        <f t="shared" si="10"/>
        <v>295</v>
      </c>
      <c r="L15" s="361">
        <v>88.21</v>
      </c>
      <c r="M15" s="109">
        <f t="shared" si="12"/>
        <v>197.20999999999998</v>
      </c>
      <c r="N15" s="361">
        <v>65</v>
      </c>
      <c r="O15" s="361">
        <v>205.09</v>
      </c>
      <c r="P15" s="183">
        <f t="shared" si="5"/>
        <v>0.96157784387342127</v>
      </c>
      <c r="Q15" s="361">
        <v>120</v>
      </c>
      <c r="R15" s="361">
        <v>0</v>
      </c>
      <c r="S15" s="112">
        <v>3009485.16</v>
      </c>
      <c r="T15" s="110">
        <f t="shared" si="11"/>
        <v>3619942</v>
      </c>
      <c r="U15" s="112">
        <v>1812997</v>
      </c>
      <c r="V15" s="112">
        <v>1806945</v>
      </c>
      <c r="W15" s="185">
        <f t="shared" si="6"/>
        <v>0.49916407500451665</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row>
    <row r="16" spans="1:220" s="71" customFormat="1">
      <c r="A16" s="90" t="s">
        <v>84</v>
      </c>
      <c r="B16" s="361">
        <v>11</v>
      </c>
      <c r="C16" s="361">
        <v>2.5</v>
      </c>
      <c r="D16" s="108">
        <f t="shared" si="7"/>
        <v>13.5</v>
      </c>
      <c r="E16" s="109">
        <f t="shared" si="8"/>
        <v>18</v>
      </c>
      <c r="F16" s="109">
        <f t="shared" si="9"/>
        <v>15</v>
      </c>
      <c r="G16" s="113"/>
      <c r="H16" s="113"/>
      <c r="I16" s="361">
        <v>96</v>
      </c>
      <c r="J16" s="361">
        <v>197</v>
      </c>
      <c r="K16" s="108">
        <f t="shared" si="10"/>
        <v>293</v>
      </c>
      <c r="L16" s="361">
        <v>96.66</v>
      </c>
      <c r="M16" s="109">
        <f t="shared" si="12"/>
        <v>192.66</v>
      </c>
      <c r="N16" s="361">
        <v>62</v>
      </c>
      <c r="O16" s="361">
        <v>197</v>
      </c>
      <c r="P16" s="183">
        <f t="shared" si="5"/>
        <v>0.97796954314720808</v>
      </c>
      <c r="Q16" s="361">
        <v>134</v>
      </c>
      <c r="R16" s="361">
        <v>0</v>
      </c>
      <c r="S16" s="112">
        <v>2834130.64</v>
      </c>
      <c r="T16" s="110">
        <f t="shared" si="11"/>
        <v>3175450.71</v>
      </c>
      <c r="U16" s="112">
        <v>1906366.71</v>
      </c>
      <c r="V16" s="112">
        <v>1269084</v>
      </c>
      <c r="W16" s="185">
        <f t="shared" si="6"/>
        <v>0.39965476270925965</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row>
    <row r="17" spans="1:61" s="71" customFormat="1">
      <c r="A17" s="90">
        <v>2007</v>
      </c>
      <c r="B17" s="195">
        <v>10</v>
      </c>
      <c r="C17" s="195">
        <v>3.75</v>
      </c>
      <c r="D17" s="109">
        <f t="shared" si="7"/>
        <v>13.75</v>
      </c>
      <c r="E17" s="109">
        <f t="shared" si="8"/>
        <v>22</v>
      </c>
      <c r="F17" s="109">
        <f t="shared" si="9"/>
        <v>16</v>
      </c>
      <c r="G17" s="113"/>
      <c r="H17" s="113"/>
      <c r="I17" s="195">
        <v>127</v>
      </c>
      <c r="J17" s="195">
        <v>167</v>
      </c>
      <c r="K17" s="194">
        <f t="shared" si="10"/>
        <v>294</v>
      </c>
      <c r="L17" s="207">
        <v>88.956999999999994</v>
      </c>
      <c r="M17" s="109">
        <f t="shared" si="12"/>
        <v>215.95699999999999</v>
      </c>
      <c r="N17" s="195">
        <v>56</v>
      </c>
      <c r="O17" s="195">
        <v>218</v>
      </c>
      <c r="P17" s="183">
        <f t="shared" si="5"/>
        <v>0.9906284403669724</v>
      </c>
      <c r="Q17" s="195">
        <v>122</v>
      </c>
      <c r="R17" s="361">
        <v>1</v>
      </c>
      <c r="S17" s="192">
        <v>2250323</v>
      </c>
      <c r="T17" s="110">
        <f t="shared" si="11"/>
        <v>2994957</v>
      </c>
      <c r="U17" s="208">
        <v>1709505</v>
      </c>
      <c r="V17" s="192">
        <v>1285452</v>
      </c>
      <c r="W17" s="185">
        <f t="shared" si="6"/>
        <v>0.42920549443614714</v>
      </c>
      <c r="X17" s="382"/>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row>
    <row r="18" spans="1:61" s="71" customFormat="1">
      <c r="A18" s="90">
        <v>2006</v>
      </c>
      <c r="B18" s="195">
        <v>9</v>
      </c>
      <c r="C18" s="195">
        <v>3</v>
      </c>
      <c r="D18" s="109">
        <f t="shared" si="7"/>
        <v>12</v>
      </c>
      <c r="E18" s="109">
        <f t="shared" si="8"/>
        <v>22</v>
      </c>
      <c r="F18" s="109">
        <f t="shared" si="9"/>
        <v>17</v>
      </c>
      <c r="G18" s="113"/>
      <c r="H18" s="113"/>
      <c r="I18" s="195">
        <v>117</v>
      </c>
      <c r="J18" s="195">
        <v>182</v>
      </c>
      <c r="K18" s="194">
        <f t="shared" si="10"/>
        <v>299</v>
      </c>
      <c r="L18" s="195">
        <v>82</v>
      </c>
      <c r="M18" s="109">
        <f t="shared" si="12"/>
        <v>199</v>
      </c>
      <c r="N18" s="195">
        <v>50</v>
      </c>
      <c r="O18" s="195">
        <v>202</v>
      </c>
      <c r="P18" s="183">
        <f t="shared" si="5"/>
        <v>0.98514851485148514</v>
      </c>
      <c r="Q18" s="195">
        <v>98</v>
      </c>
      <c r="R18" s="361">
        <v>0</v>
      </c>
      <c r="S18" s="192">
        <v>1747675</v>
      </c>
      <c r="T18" s="110">
        <f t="shared" si="11"/>
        <v>1876873</v>
      </c>
      <c r="U18" s="192">
        <v>1291554</v>
      </c>
      <c r="V18" s="192">
        <v>585319</v>
      </c>
      <c r="W18" s="185">
        <f t="shared" si="6"/>
        <v>0.31185860737513937</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row>
    <row r="19" spans="1:61" s="71" customFormat="1">
      <c r="A19" s="90">
        <v>2005</v>
      </c>
      <c r="B19" s="195">
        <v>8</v>
      </c>
      <c r="C19" s="195">
        <v>1.75</v>
      </c>
      <c r="D19" s="109">
        <f t="shared" si="7"/>
        <v>9.75</v>
      </c>
      <c r="E19" s="109">
        <f t="shared" si="8"/>
        <v>21</v>
      </c>
      <c r="F19" s="109">
        <f t="shared" si="9"/>
        <v>17</v>
      </c>
      <c r="G19" s="113"/>
      <c r="H19" s="113"/>
      <c r="I19" s="195">
        <v>94</v>
      </c>
      <c r="J19" s="195">
        <v>165</v>
      </c>
      <c r="K19" s="194">
        <f t="shared" si="10"/>
        <v>259</v>
      </c>
      <c r="L19" s="195">
        <v>67</v>
      </c>
      <c r="M19" s="109">
        <f t="shared" si="12"/>
        <v>161</v>
      </c>
      <c r="N19" s="195">
        <v>50</v>
      </c>
      <c r="O19" s="195">
        <v>164.55</v>
      </c>
      <c r="P19" s="183">
        <f t="shared" si="5"/>
        <v>0.97842601033120624</v>
      </c>
      <c r="Q19" s="195">
        <v>93</v>
      </c>
      <c r="R19" s="361">
        <v>0</v>
      </c>
      <c r="S19" s="192">
        <v>1543289</v>
      </c>
      <c r="T19" s="110">
        <f t="shared" si="11"/>
        <v>1564356</v>
      </c>
      <c r="U19" s="192">
        <v>1082572</v>
      </c>
      <c r="V19" s="192">
        <v>481784</v>
      </c>
      <c r="W19" s="185">
        <f t="shared" si="6"/>
        <v>0.30797593386671573</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1:61" s="71" customFormat="1">
      <c r="A20" s="90">
        <v>2004</v>
      </c>
      <c r="B20" s="195">
        <v>9</v>
      </c>
      <c r="C20" s="195">
        <v>0.75</v>
      </c>
      <c r="D20" s="109">
        <f t="shared" si="7"/>
        <v>9.75</v>
      </c>
      <c r="E20" s="109">
        <f t="shared" si="8"/>
        <v>21</v>
      </c>
      <c r="F20" s="109">
        <f t="shared" si="9"/>
        <v>20</v>
      </c>
      <c r="G20" s="113"/>
      <c r="H20" s="113"/>
      <c r="I20" s="195">
        <v>42</v>
      </c>
      <c r="J20" s="195">
        <v>210</v>
      </c>
      <c r="K20" s="194">
        <f t="shared" si="10"/>
        <v>252</v>
      </c>
      <c r="L20" s="195">
        <v>146</v>
      </c>
      <c r="M20" s="109">
        <f t="shared" si="12"/>
        <v>188</v>
      </c>
      <c r="N20" s="195">
        <v>52</v>
      </c>
      <c r="O20" s="195">
        <v>192.45</v>
      </c>
      <c r="P20" s="183">
        <f t="shared" si="5"/>
        <v>0.97687711093790597</v>
      </c>
      <c r="Q20" s="195">
        <v>251</v>
      </c>
      <c r="R20" s="361">
        <v>9</v>
      </c>
      <c r="S20" s="192">
        <v>1433235.29</v>
      </c>
      <c r="T20" s="110">
        <f t="shared" si="11"/>
        <v>1440109.92</v>
      </c>
      <c r="U20" s="192">
        <v>611364.43999999994</v>
      </c>
      <c r="V20" s="192">
        <v>828745.48</v>
      </c>
      <c r="W20" s="185">
        <f t="shared" si="6"/>
        <v>0.57547376661359295</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1:61" s="71" customFormat="1">
      <c r="A21" s="90">
        <v>2003</v>
      </c>
      <c r="B21" s="195">
        <v>9</v>
      </c>
      <c r="C21" s="195">
        <v>1</v>
      </c>
      <c r="D21" s="194">
        <f t="shared" si="7"/>
        <v>10</v>
      </c>
      <c r="E21" s="109">
        <f t="shared" si="8"/>
        <v>19</v>
      </c>
      <c r="F21" s="109">
        <f t="shared" si="9"/>
        <v>17</v>
      </c>
      <c r="G21" s="113"/>
      <c r="H21" s="113"/>
      <c r="I21" s="195">
        <v>85</v>
      </c>
      <c r="J21" s="195">
        <v>112</v>
      </c>
      <c r="K21" s="194">
        <f t="shared" si="10"/>
        <v>197</v>
      </c>
      <c r="L21" s="195">
        <v>55</v>
      </c>
      <c r="M21" s="109">
        <f t="shared" si="12"/>
        <v>140</v>
      </c>
      <c r="N21" s="195">
        <v>39</v>
      </c>
      <c r="O21" s="195">
        <v>169</v>
      </c>
      <c r="P21" s="183">
        <f t="shared" si="5"/>
        <v>0.82840236686390534</v>
      </c>
      <c r="Q21" s="195">
        <v>86</v>
      </c>
      <c r="R21" s="361">
        <v>0</v>
      </c>
      <c r="S21" s="192">
        <v>1419974</v>
      </c>
      <c r="T21" s="110">
        <f t="shared" si="11"/>
        <v>1483292</v>
      </c>
      <c r="U21" s="192">
        <v>719103</v>
      </c>
      <c r="V21" s="192">
        <v>764189</v>
      </c>
      <c r="W21" s="185">
        <f t="shared" si="6"/>
        <v>0.51519795158337001</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1:61" s="71" customFormat="1" ht="22.5" customHeight="1">
      <c r="A22" s="90">
        <v>2002</v>
      </c>
      <c r="B22" s="195">
        <v>6</v>
      </c>
      <c r="C22" s="195">
        <v>1.25</v>
      </c>
      <c r="D22" s="194">
        <f t="shared" si="7"/>
        <v>7.25</v>
      </c>
      <c r="E22" s="109">
        <f t="shared" si="8"/>
        <v>24</v>
      </c>
      <c r="F22" s="109">
        <f t="shared" si="9"/>
        <v>20</v>
      </c>
      <c r="G22" s="113"/>
      <c r="H22" s="113"/>
      <c r="I22" s="195">
        <v>77</v>
      </c>
      <c r="J22" s="195">
        <v>114</v>
      </c>
      <c r="K22" s="194">
        <f t="shared" si="10"/>
        <v>191</v>
      </c>
      <c r="L22" s="195">
        <f>ROUND(62.67, 0)</f>
        <v>63</v>
      </c>
      <c r="M22" s="109">
        <f t="shared" si="12"/>
        <v>140</v>
      </c>
      <c r="N22" s="195">
        <v>36</v>
      </c>
      <c r="O22" s="195">
        <f>ROUND(142.01, 0)</f>
        <v>142</v>
      </c>
      <c r="P22" s="183">
        <f t="shared" si="5"/>
        <v>0.9859154929577465</v>
      </c>
      <c r="Q22" s="195">
        <v>42</v>
      </c>
      <c r="R22" s="361">
        <v>0</v>
      </c>
      <c r="S22" s="192">
        <v>1336828</v>
      </c>
      <c r="T22" s="110">
        <f t="shared" si="11"/>
        <v>1553748</v>
      </c>
      <c r="U22" s="192">
        <v>839330</v>
      </c>
      <c r="V22" s="192">
        <v>714418</v>
      </c>
      <c r="W22" s="185">
        <f t="shared" si="6"/>
        <v>0.45980300537796348</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1:61" s="71" customFormat="1" ht="21.75" customHeight="1">
      <c r="A23" s="659" t="s">
        <v>87</v>
      </c>
      <c r="B23" s="660"/>
      <c r="C23" s="660"/>
      <c r="D23" s="660"/>
      <c r="E23" s="660"/>
      <c r="F23" s="660"/>
      <c r="G23" s="660"/>
      <c r="H23" s="660"/>
      <c r="I23" s="660"/>
      <c r="J23" s="660"/>
      <c r="K23" s="660"/>
      <c r="L23" s="660"/>
      <c r="M23" s="660"/>
      <c r="N23" s="660"/>
      <c r="O23" s="660"/>
      <c r="P23" s="660"/>
      <c r="Q23" s="660"/>
      <c r="R23" s="660"/>
      <c r="S23" s="660"/>
      <c r="T23" s="660"/>
      <c r="U23" s="660"/>
      <c r="V23" s="660"/>
      <c r="W23" s="661"/>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row>
    <row r="24" spans="1:61" s="71" customFormat="1">
      <c r="A24" s="662" t="s">
        <v>124</v>
      </c>
      <c r="B24" s="663"/>
      <c r="C24" s="663"/>
      <c r="D24" s="663"/>
      <c r="E24" s="663"/>
      <c r="F24" s="663"/>
      <c r="G24" s="663"/>
      <c r="H24" s="663"/>
      <c r="I24" s="663"/>
      <c r="J24" s="663"/>
      <c r="K24" s="663"/>
      <c r="L24" s="663"/>
      <c r="M24" s="663"/>
      <c r="N24" s="663"/>
      <c r="O24" s="663"/>
      <c r="P24" s="663"/>
      <c r="Q24" s="663"/>
      <c r="R24" s="663"/>
      <c r="S24" s="663"/>
      <c r="T24" s="663"/>
      <c r="U24" s="663"/>
      <c r="V24" s="663"/>
      <c r="W24" s="664"/>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row>
    <row r="25" spans="1:61" s="14" customFormat="1">
      <c r="A25" s="665" t="s">
        <v>173</v>
      </c>
      <c r="B25" s="656"/>
      <c r="C25" s="656"/>
      <c r="D25" s="656"/>
      <c r="E25" s="656"/>
      <c r="F25" s="656"/>
      <c r="G25" s="656"/>
      <c r="H25" s="656"/>
      <c r="I25" s="656"/>
      <c r="J25" s="656"/>
      <c r="K25" s="656"/>
      <c r="L25" s="656"/>
      <c r="M25" s="656"/>
      <c r="N25" s="656"/>
      <c r="O25" s="656"/>
      <c r="P25" s="656"/>
      <c r="Q25" s="656"/>
      <c r="R25" s="656"/>
      <c r="S25" s="656"/>
      <c r="T25" s="656"/>
      <c r="U25" s="656"/>
      <c r="V25" s="656"/>
      <c r="W25" s="656"/>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row>
    <row r="26" spans="1:61" s="14" customFormat="1">
      <c r="A26" s="656"/>
      <c r="B26" s="656"/>
      <c r="C26" s="656"/>
      <c r="D26" s="656"/>
      <c r="E26" s="656"/>
      <c r="F26" s="656"/>
      <c r="G26" s="656"/>
      <c r="H26" s="656"/>
      <c r="I26" s="656"/>
      <c r="J26" s="656"/>
      <c r="K26" s="656"/>
      <c r="L26" s="656"/>
      <c r="M26" s="656"/>
      <c r="N26" s="656"/>
      <c r="O26" s="656"/>
      <c r="P26" s="656"/>
      <c r="Q26" s="656"/>
      <c r="R26" s="656"/>
      <c r="S26" s="656"/>
      <c r="T26" s="656"/>
      <c r="U26" s="656"/>
      <c r="V26" s="656"/>
      <c r="W26" s="656"/>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row>
    <row r="27" spans="1:61"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row>
    <row r="28" spans="1:61"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row>
    <row r="29" spans="1:61"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row>
    <row r="30" spans="1:61"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row>
    <row r="31" spans="1:61"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row>
    <row r="32" spans="1:61"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row>
    <row r="33" spans="24:61"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row>
  </sheetData>
  <mergeCells count="3">
    <mergeCell ref="A23:W23"/>
    <mergeCell ref="A24:W24"/>
    <mergeCell ref="A25:W26"/>
  </mergeCells>
  <printOptions headings="1" gridLines="1"/>
  <pageMargins left="0.5" right="0.5" top="0.5" bottom="0.5" header="0" footer="0"/>
  <pageSetup paperSize="5" scale="66" orientation="landscape" horizontalDpi="1200" verticalDpi="1200"/>
  <legacyDrawing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HL25"/>
  <sheetViews>
    <sheetView workbookViewId="0">
      <selection activeCell="F22" sqref="F22"/>
    </sheetView>
  </sheetViews>
  <sheetFormatPr defaultColWidth="8.85546875" defaultRowHeight="15"/>
  <cols>
    <col min="1" max="1" width="10.7109375" customWidth="1"/>
    <col min="2" max="2" width="9.85546875" customWidth="1"/>
    <col min="3" max="3" width="10" customWidth="1"/>
    <col min="4" max="4" width="10.42578125" customWidth="1"/>
    <col min="5" max="5" width="11.42578125" customWidth="1"/>
    <col min="6" max="6" width="10.85546875" customWidth="1"/>
    <col min="7" max="7" width="10.42578125" customWidth="1"/>
    <col min="8" max="8" width="11.42578125" customWidth="1"/>
    <col min="9" max="9" width="12" customWidth="1"/>
    <col min="10" max="10" width="11.42578125" customWidth="1"/>
    <col min="11" max="11" width="11.85546875" customWidth="1"/>
    <col min="12" max="12" width="12" customWidth="1"/>
    <col min="13" max="13" width="12.42578125" customWidth="1"/>
    <col min="14" max="14" width="12.7109375" customWidth="1"/>
    <col min="15" max="15" width="11.42578125" customWidth="1"/>
    <col min="16" max="16" width="14" customWidth="1"/>
    <col min="17" max="17" width="11.140625" customWidth="1"/>
    <col min="18" max="18" width="10.28515625" customWidth="1"/>
    <col min="19" max="19" width="12" customWidth="1"/>
    <col min="20" max="20" width="11.28515625" customWidth="1"/>
    <col min="21" max="21" width="11.85546875" customWidth="1"/>
    <col min="22" max="22" width="12.140625" customWidth="1"/>
    <col min="23" max="23" width="12.42578125" customWidth="1"/>
  </cols>
  <sheetData>
    <row r="1" spans="1:220" ht="18.75">
      <c r="A1" s="1" t="s">
        <v>19</v>
      </c>
      <c r="B1" s="2"/>
      <c r="C1" s="1"/>
      <c r="D1" s="1"/>
      <c r="E1" s="1"/>
      <c r="F1" s="1"/>
      <c r="G1" s="1"/>
      <c r="H1" s="1"/>
      <c r="I1" s="1"/>
      <c r="J1" s="1"/>
      <c r="K1" s="1"/>
      <c r="L1" s="1"/>
      <c r="M1" s="1"/>
      <c r="N1" s="1"/>
      <c r="O1" s="1"/>
      <c r="P1" s="1"/>
      <c r="Q1" s="1"/>
      <c r="R1" s="1"/>
      <c r="S1" s="1"/>
      <c r="T1" s="1"/>
      <c r="U1" s="1"/>
      <c r="V1" s="1"/>
      <c r="W1" s="1"/>
    </row>
    <row r="2" spans="1:220" ht="79.5" customHeight="1">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6">
        <v>2021</v>
      </c>
      <c r="B3" s="447">
        <v>4</v>
      </c>
      <c r="C3" s="447">
        <v>5.33</v>
      </c>
      <c r="D3" s="437">
        <f>SUM(B3:C3)</f>
        <v>9.33</v>
      </c>
      <c r="E3" s="427">
        <f>ROUND((O3/B3), 0)</f>
        <v>17</v>
      </c>
      <c r="F3" s="427">
        <f t="shared" ref="F3" si="0">ROUND((O3/D3), 0)</f>
        <v>7</v>
      </c>
      <c r="G3" s="447">
        <v>4</v>
      </c>
      <c r="H3" s="447">
        <v>5.33</v>
      </c>
      <c r="I3" s="447">
        <v>61</v>
      </c>
      <c r="J3" s="447">
        <v>9</v>
      </c>
      <c r="K3" s="437">
        <f t="shared" ref="K3" si="1">SUM(I3:J3)</f>
        <v>70</v>
      </c>
      <c r="L3" s="447">
        <v>6.3125</v>
      </c>
      <c r="M3" s="427">
        <f>(I3+L3)</f>
        <v>67.3125</v>
      </c>
      <c r="N3" s="447">
        <v>40</v>
      </c>
      <c r="O3" s="447">
        <v>67</v>
      </c>
      <c r="P3" s="438">
        <f t="shared" ref="P3" si="2">M3/O3</f>
        <v>1.0046641791044777</v>
      </c>
      <c r="Q3" s="447">
        <v>43</v>
      </c>
      <c r="R3" s="447">
        <v>0</v>
      </c>
      <c r="S3" s="494">
        <v>3444916</v>
      </c>
      <c r="T3" s="439">
        <f t="shared" ref="T3" si="3">SUM(U3:V3)</f>
        <v>3711874</v>
      </c>
      <c r="U3" s="451">
        <v>3627925</v>
      </c>
      <c r="V3" s="451">
        <v>83949</v>
      </c>
      <c r="W3" s="335">
        <f t="shared" ref="W3" si="4">V3/T3</f>
        <v>2.261633880891431E-2</v>
      </c>
    </row>
    <row r="4" spans="1:220" s="26" customFormat="1">
      <c r="A4" s="417">
        <v>2020</v>
      </c>
      <c r="B4" s="412">
        <v>4</v>
      </c>
      <c r="C4" s="412">
        <v>5</v>
      </c>
      <c r="D4" s="187">
        <f>SUM(B4:C4)</f>
        <v>9</v>
      </c>
      <c r="E4" s="16">
        <f>ROUND((O4/B4), 0)</f>
        <v>21</v>
      </c>
      <c r="F4" s="16">
        <f>ROUND((O4/D4), 0)</f>
        <v>9</v>
      </c>
      <c r="G4" s="412">
        <v>4</v>
      </c>
      <c r="H4" s="412">
        <v>5</v>
      </c>
      <c r="I4" s="412">
        <v>79</v>
      </c>
      <c r="J4" s="412">
        <v>9</v>
      </c>
      <c r="K4" s="187">
        <f t="shared" ref="K4" si="5">SUM(I4:J4)</f>
        <v>88</v>
      </c>
      <c r="L4" s="412">
        <v>5.375</v>
      </c>
      <c r="M4" s="16">
        <f>(I4+L4)</f>
        <v>84.375</v>
      </c>
      <c r="N4" s="412">
        <v>52</v>
      </c>
      <c r="O4" s="412">
        <v>84</v>
      </c>
      <c r="P4" s="184">
        <f t="shared" ref="P4" si="6">M4/O4</f>
        <v>1.0044642857142858</v>
      </c>
      <c r="Q4" s="412">
        <v>34</v>
      </c>
      <c r="R4" s="412">
        <v>0</v>
      </c>
      <c r="S4" s="633">
        <v>3148845</v>
      </c>
      <c r="T4" s="188">
        <f>SUM(U4:V4)</f>
        <v>3688749</v>
      </c>
      <c r="U4" s="474">
        <v>3288749</v>
      </c>
      <c r="V4" s="474">
        <v>400000</v>
      </c>
      <c r="W4" s="335">
        <f t="shared" ref="W4" si="7">V4/T4</f>
        <v>0.10843784708582774</v>
      </c>
    </row>
    <row r="5" spans="1:220" s="19" customFormat="1">
      <c r="A5" s="417">
        <v>2019</v>
      </c>
      <c r="B5" s="412">
        <v>4</v>
      </c>
      <c r="C5" s="412">
        <v>16</v>
      </c>
      <c r="D5" s="187">
        <f>SUM(B5:C5)</f>
        <v>20</v>
      </c>
      <c r="E5" s="16">
        <f>ROUND((O5/B5), 0)</f>
        <v>17</v>
      </c>
      <c r="F5" s="16">
        <f>ROUND((O5/D5), 0)</f>
        <v>3</v>
      </c>
      <c r="G5" s="412">
        <v>4</v>
      </c>
      <c r="H5" s="412">
        <v>16</v>
      </c>
      <c r="I5" s="412">
        <v>62</v>
      </c>
      <c r="J5" s="412">
        <v>12</v>
      </c>
      <c r="K5" s="187">
        <f t="shared" ref="K5" si="8">SUM(I5:J5)</f>
        <v>74</v>
      </c>
      <c r="L5" s="412">
        <v>7</v>
      </c>
      <c r="M5" s="16">
        <f>(I5+L5)</f>
        <v>69</v>
      </c>
      <c r="N5" s="412">
        <v>43</v>
      </c>
      <c r="O5" s="412">
        <v>69</v>
      </c>
      <c r="P5" s="184">
        <f t="shared" ref="P5" si="9">M5/O5</f>
        <v>1</v>
      </c>
      <c r="Q5" s="412">
        <v>48</v>
      </c>
      <c r="R5" s="412">
        <v>1</v>
      </c>
      <c r="S5" s="633">
        <v>2839059</v>
      </c>
      <c r="T5" s="188">
        <f>SUM(U5:V5)</f>
        <v>2876561</v>
      </c>
      <c r="U5" s="474">
        <v>1252281</v>
      </c>
      <c r="V5" s="474">
        <v>1624280</v>
      </c>
      <c r="W5" s="335">
        <f t="shared" ref="W5" si="10">V5/T5</f>
        <v>0.56466037049101336</v>
      </c>
    </row>
    <row r="6" spans="1:220" s="17" customFormat="1">
      <c r="A6" s="33">
        <v>2018</v>
      </c>
      <c r="B6" s="344">
        <v>4</v>
      </c>
      <c r="C6" s="20">
        <v>5</v>
      </c>
      <c r="D6" s="29">
        <f>SUM(B6:C6)</f>
        <v>9</v>
      </c>
      <c r="E6" s="172">
        <f>ROUND((O6/B6), 0)</f>
        <v>23</v>
      </c>
      <c r="F6" s="172">
        <f>ROUND((O6/D6), 0)</f>
        <v>10</v>
      </c>
      <c r="G6" s="20">
        <v>4</v>
      </c>
      <c r="H6" s="20">
        <v>5</v>
      </c>
      <c r="I6" s="20">
        <v>81</v>
      </c>
      <c r="J6" s="20">
        <v>11</v>
      </c>
      <c r="K6" s="29">
        <f t="shared" ref="K6" si="11">SUM(I6:J6)</f>
        <v>92</v>
      </c>
      <c r="L6" s="20">
        <v>7.75</v>
      </c>
      <c r="M6" s="172">
        <f>(I6+L6)</f>
        <v>88.75</v>
      </c>
      <c r="N6" s="20">
        <v>47</v>
      </c>
      <c r="O6" s="20">
        <v>91</v>
      </c>
      <c r="P6" s="183">
        <f t="shared" ref="P6" si="12">M6/O6</f>
        <v>0.97527472527472525</v>
      </c>
      <c r="Q6" s="20">
        <v>22</v>
      </c>
      <c r="R6" s="20">
        <v>0</v>
      </c>
      <c r="S6" s="24">
        <f>824475+388026+182760+1646488</f>
        <v>3041749</v>
      </c>
      <c r="T6" s="30">
        <f>SUM(U6:V6)</f>
        <v>3118146</v>
      </c>
      <c r="U6" s="24">
        <v>2744146</v>
      </c>
      <c r="V6" s="24">
        <v>374000</v>
      </c>
      <c r="W6" s="185">
        <f t="shared" ref="W6" si="13">V6/T6</f>
        <v>0.11994306873379246</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26" customFormat="1">
      <c r="A7" s="33">
        <v>2017</v>
      </c>
      <c r="B7" s="13">
        <v>4</v>
      </c>
      <c r="C7" s="20">
        <v>3.67</v>
      </c>
      <c r="D7" s="34">
        <f>SUM(B7:C7)</f>
        <v>7.67</v>
      </c>
      <c r="E7" s="34">
        <f>ROUND((O7/B6), 0)</f>
        <v>18</v>
      </c>
      <c r="F7" s="34">
        <f>ROUND((O7/D7), 0)</f>
        <v>9</v>
      </c>
      <c r="G7" s="20">
        <v>4</v>
      </c>
      <c r="H7" s="20">
        <v>3.67</v>
      </c>
      <c r="I7" s="20">
        <v>66</v>
      </c>
      <c r="J7" s="20">
        <v>7</v>
      </c>
      <c r="K7" s="34">
        <f>SUM(I7:J7)</f>
        <v>73</v>
      </c>
      <c r="L7" s="20">
        <v>4</v>
      </c>
      <c r="M7" s="36">
        <f>(I7+L7)</f>
        <v>70</v>
      </c>
      <c r="N7" s="344">
        <v>39</v>
      </c>
      <c r="O7" s="344">
        <v>70</v>
      </c>
      <c r="P7" s="183">
        <f>M7/O7</f>
        <v>1</v>
      </c>
      <c r="Q7" s="20">
        <v>24</v>
      </c>
      <c r="R7" s="20">
        <v>0</v>
      </c>
      <c r="S7" s="300">
        <v>2299528</v>
      </c>
      <c r="T7" s="35">
        <f>SUM(U7:V7)</f>
        <v>2175161</v>
      </c>
      <c r="U7" s="341">
        <v>1815161</v>
      </c>
      <c r="V7" s="24">
        <v>360000</v>
      </c>
      <c r="W7" s="185">
        <f>V7/T7</f>
        <v>0.16550499020532272</v>
      </c>
    </row>
    <row r="8" spans="1:220" s="26" customFormat="1">
      <c r="A8" s="95">
        <v>2016</v>
      </c>
      <c r="B8" s="63">
        <v>4</v>
      </c>
      <c r="C8" s="63">
        <v>2.67</v>
      </c>
      <c r="D8" s="81">
        <f>B8+C8</f>
        <v>6.67</v>
      </c>
      <c r="E8" s="82">
        <f>ROUND((O8/B8), 0)</f>
        <v>11</v>
      </c>
      <c r="F8" s="82">
        <f>ROUND((O8/D8), 0)</f>
        <v>7</v>
      </c>
      <c r="G8" s="63">
        <v>4</v>
      </c>
      <c r="H8" s="63">
        <v>2.67</v>
      </c>
      <c r="I8" s="63">
        <v>42</v>
      </c>
      <c r="J8" s="63">
        <v>5</v>
      </c>
      <c r="K8" s="81">
        <f>I8+J8</f>
        <v>47</v>
      </c>
      <c r="L8" s="63">
        <v>3.125</v>
      </c>
      <c r="M8" s="82">
        <f>I8+L8</f>
        <v>45.125</v>
      </c>
      <c r="N8" s="63">
        <v>19</v>
      </c>
      <c r="O8" s="63">
        <v>45</v>
      </c>
      <c r="P8" s="183">
        <f>M8/O8</f>
        <v>1.0027777777777778</v>
      </c>
      <c r="Q8" s="63">
        <v>17</v>
      </c>
      <c r="R8" s="63">
        <v>0</v>
      </c>
      <c r="S8" s="137">
        <v>1824682</v>
      </c>
      <c r="T8" s="138">
        <f>SUM(U8:V8)</f>
        <v>1842040</v>
      </c>
      <c r="U8" s="137">
        <v>1778861</v>
      </c>
      <c r="V8" s="137">
        <v>63179</v>
      </c>
      <c r="W8" s="185">
        <f>V8/T8</f>
        <v>3.4298386571409961E-2</v>
      </c>
    </row>
    <row r="9" spans="1:220" s="26" customFormat="1">
      <c r="A9" s="267">
        <v>2015</v>
      </c>
      <c r="B9" s="91">
        <v>4</v>
      </c>
      <c r="C9" s="91">
        <v>1.8</v>
      </c>
      <c r="D9" s="81">
        <v>5.8</v>
      </c>
      <c r="E9" s="81">
        <v>12.3</v>
      </c>
      <c r="F9" s="81">
        <v>8.5</v>
      </c>
      <c r="G9" s="111"/>
      <c r="H9" s="111"/>
      <c r="I9" s="91">
        <v>46</v>
      </c>
      <c r="J9" s="91">
        <v>5</v>
      </c>
      <c r="K9" s="81">
        <f>I9+J9</f>
        <v>51</v>
      </c>
      <c r="L9" s="91">
        <v>2.75</v>
      </c>
      <c r="M9" s="82">
        <f>I9+L9</f>
        <v>48.75</v>
      </c>
      <c r="N9" s="91">
        <v>23</v>
      </c>
      <c r="O9" s="91">
        <v>49.13</v>
      </c>
      <c r="P9" s="183">
        <f>M9/O9</f>
        <v>0.99226541827803783</v>
      </c>
      <c r="Q9" s="91">
        <v>18</v>
      </c>
      <c r="R9" s="91">
        <v>0</v>
      </c>
      <c r="S9" s="102">
        <v>1251056</v>
      </c>
      <c r="T9" s="103">
        <v>1297446</v>
      </c>
      <c r="U9" s="102">
        <v>1242846</v>
      </c>
      <c r="V9" s="102">
        <v>54600</v>
      </c>
      <c r="W9" s="185">
        <f>V9/T9</f>
        <v>4.2082676273232179E-2</v>
      </c>
    </row>
    <row r="10" spans="1:220" s="26" customFormat="1">
      <c r="A10" s="90">
        <v>2014</v>
      </c>
      <c r="B10" s="91">
        <v>4</v>
      </c>
      <c r="C10" s="91">
        <v>1.1599999999999999</v>
      </c>
      <c r="D10" s="81">
        <f>B10+C10</f>
        <v>5.16</v>
      </c>
      <c r="E10" s="82">
        <f>ROUND((O10/B10), 0)</f>
        <v>9</v>
      </c>
      <c r="F10" s="82">
        <f>ROUND((O10/D10), 0)</f>
        <v>7</v>
      </c>
      <c r="G10" s="111"/>
      <c r="H10" s="111"/>
      <c r="I10" s="91">
        <v>33</v>
      </c>
      <c r="J10" s="91">
        <v>2</v>
      </c>
      <c r="K10" s="81">
        <f>I10+J10</f>
        <v>35</v>
      </c>
      <c r="L10" s="91">
        <v>1.25</v>
      </c>
      <c r="M10" s="82">
        <f>I10+L10</f>
        <v>34.25</v>
      </c>
      <c r="N10" s="91">
        <v>16</v>
      </c>
      <c r="O10" s="91">
        <v>35</v>
      </c>
      <c r="P10" s="183">
        <f>M10/O10</f>
        <v>0.97857142857142854</v>
      </c>
      <c r="Q10" s="91">
        <v>0</v>
      </c>
      <c r="R10" s="91">
        <v>0</v>
      </c>
      <c r="S10" s="92">
        <v>528959</v>
      </c>
      <c r="T10" s="85">
        <f>SUM(U10:V10)</f>
        <v>528959</v>
      </c>
      <c r="U10" s="92">
        <v>490709</v>
      </c>
      <c r="V10" s="92">
        <v>38250</v>
      </c>
      <c r="W10" s="185">
        <f>V10/T10</f>
        <v>7.2311842694802439E-2</v>
      </c>
    </row>
    <row r="11" spans="1:220" s="26" customFormat="1">
      <c r="A11" s="90">
        <v>2013</v>
      </c>
      <c r="B11" s="91">
        <v>4</v>
      </c>
      <c r="C11" s="91">
        <v>0.5</v>
      </c>
      <c r="D11" s="81">
        <f>B11+C11</f>
        <v>4.5</v>
      </c>
      <c r="E11" s="82">
        <f>ROUND((O11/B11), 0)</f>
        <v>6</v>
      </c>
      <c r="F11" s="82">
        <f>ROUND((O11/D11), 0)</f>
        <v>5</v>
      </c>
      <c r="G11" s="113"/>
      <c r="H11" s="113"/>
      <c r="I11" s="91">
        <v>22</v>
      </c>
      <c r="J11" s="91">
        <v>0</v>
      </c>
      <c r="K11" s="81">
        <f>I11+J11</f>
        <v>22</v>
      </c>
      <c r="L11" s="91">
        <v>0</v>
      </c>
      <c r="M11" s="82">
        <f>I11+L11</f>
        <v>22</v>
      </c>
      <c r="N11" s="91">
        <v>14</v>
      </c>
      <c r="O11" s="91">
        <v>22</v>
      </c>
      <c r="P11" s="183">
        <f>M11/O11</f>
        <v>1</v>
      </c>
      <c r="Q11" s="91">
        <v>0</v>
      </c>
      <c r="R11" s="91">
        <v>0</v>
      </c>
      <c r="S11" s="92">
        <v>392600</v>
      </c>
      <c r="T11" s="85">
        <f>SUM(U11:V11)</f>
        <v>392600</v>
      </c>
      <c r="U11" s="92">
        <v>375600</v>
      </c>
      <c r="V11" s="92">
        <v>17000</v>
      </c>
      <c r="W11" s="185">
        <f>V11/T11</f>
        <v>4.3301069791136015E-2</v>
      </c>
    </row>
    <row r="12" spans="1:220" s="26" customFormat="1" ht="19.5" customHeight="1">
      <c r="A12" s="667" t="s">
        <v>171</v>
      </c>
      <c r="B12" s="667"/>
      <c r="C12" s="667"/>
      <c r="D12" s="667"/>
      <c r="E12" s="667"/>
      <c r="F12" s="667"/>
      <c r="G12" s="667"/>
      <c r="H12" s="667"/>
      <c r="I12" s="667"/>
      <c r="J12" s="667"/>
      <c r="K12" s="667"/>
      <c r="L12" s="667"/>
      <c r="M12" s="667"/>
      <c r="N12" s="667"/>
      <c r="O12" s="667"/>
      <c r="P12" s="667"/>
      <c r="Q12" s="667"/>
      <c r="R12" s="667"/>
      <c r="S12" s="667"/>
      <c r="T12" s="667"/>
      <c r="U12" s="667"/>
      <c r="V12" s="667"/>
      <c r="W12" s="667"/>
    </row>
    <row r="13" spans="1:220" s="26" customFormat="1" ht="30.75" customHeight="1">
      <c r="A13" s="667"/>
      <c r="B13" s="667"/>
      <c r="C13" s="667"/>
      <c r="D13" s="667"/>
      <c r="E13" s="667"/>
      <c r="F13" s="667"/>
      <c r="G13" s="667"/>
      <c r="H13" s="667"/>
      <c r="I13" s="667"/>
      <c r="J13" s="667"/>
      <c r="K13" s="667"/>
      <c r="L13" s="667"/>
      <c r="M13" s="667"/>
      <c r="N13" s="667"/>
      <c r="O13" s="667"/>
      <c r="P13" s="667"/>
      <c r="Q13" s="667"/>
      <c r="R13" s="667"/>
      <c r="S13" s="667"/>
      <c r="T13" s="667"/>
      <c r="U13" s="667"/>
      <c r="V13" s="667"/>
      <c r="W13" s="667"/>
    </row>
    <row r="14" spans="1:220" s="26" customFormat="1" ht="31.15" customHeight="1">
      <c r="A14" s="667"/>
      <c r="B14" s="667"/>
      <c r="C14" s="667"/>
      <c r="D14" s="667"/>
      <c r="E14" s="667"/>
      <c r="F14" s="667"/>
      <c r="G14" s="667"/>
      <c r="H14" s="667"/>
      <c r="I14" s="667"/>
      <c r="J14" s="667"/>
      <c r="K14" s="667"/>
      <c r="L14" s="667"/>
      <c r="M14" s="667"/>
      <c r="N14" s="667"/>
      <c r="O14" s="667"/>
      <c r="P14" s="667"/>
      <c r="Q14" s="667"/>
      <c r="R14" s="667"/>
      <c r="S14" s="667"/>
      <c r="T14" s="667"/>
      <c r="U14" s="667"/>
      <c r="V14" s="667"/>
      <c r="W14" s="667"/>
    </row>
    <row r="15" spans="1:220" s="26" customFormat="1"/>
    <row r="16" spans="1:220" s="26" customFormat="1"/>
    <row r="17" s="26" customFormat="1"/>
    <row r="18" s="26" customFormat="1"/>
    <row r="19" s="26" customFormat="1"/>
    <row r="20" s="26" customFormat="1"/>
    <row r="21" s="26" customFormat="1"/>
    <row r="22" s="26" customFormat="1"/>
    <row r="23" s="26" customFormat="1"/>
    <row r="24" s="26" customFormat="1"/>
    <row r="25" s="26" customFormat="1"/>
  </sheetData>
  <mergeCells count="1">
    <mergeCell ref="A12:W14"/>
  </mergeCells>
  <printOptions headings="1" gridLines="1"/>
  <pageMargins left="0.5" right="0.5" top="0.5" bottom="0.5" header="0" footer="0"/>
  <pageSetup paperSize="5" scale="63" orientation="landscape"/>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L22"/>
  <sheetViews>
    <sheetView workbookViewId="0">
      <selection activeCell="M21" sqref="M21"/>
    </sheetView>
  </sheetViews>
  <sheetFormatPr defaultColWidth="8.85546875" defaultRowHeight="15"/>
  <cols>
    <col min="1" max="1" width="9.140625" customWidth="1"/>
    <col min="2" max="2" width="10.28515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9" bestFit="1" customWidth="1"/>
    <col min="10" max="11" width="12" bestFit="1" customWidth="1"/>
    <col min="12" max="12" width="12.42578125" bestFit="1" customWidth="1"/>
    <col min="13" max="14" width="13.28515625" bestFit="1" customWidth="1"/>
    <col min="15" max="15" width="13.42578125" bestFit="1" customWidth="1"/>
    <col min="16" max="16" width="14.28515625" customWidth="1"/>
    <col min="17" max="17" width="12.42578125" bestFit="1" customWidth="1"/>
    <col min="18" max="18" width="9.140625" bestFit="1" customWidth="1"/>
    <col min="19" max="19" width="12" bestFit="1" customWidth="1"/>
    <col min="20" max="20" width="13" bestFit="1" customWidth="1"/>
    <col min="21" max="21" width="10.42578125" bestFit="1" customWidth="1"/>
    <col min="22" max="22" width="11" bestFit="1" customWidth="1"/>
    <col min="23" max="23" width="13" bestFit="1" customWidth="1"/>
    <col min="24" max="69" width="8.85546875" style="376"/>
  </cols>
  <sheetData>
    <row r="1" spans="1:220" s="1" customFormat="1" ht="18.75">
      <c r="A1" s="1" t="s">
        <v>121</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220" s="3" customFormat="1" ht="60">
      <c r="A2" s="27" t="s">
        <v>42</v>
      </c>
      <c r="B2" s="27" t="s">
        <v>25</v>
      </c>
      <c r="C2" s="27" t="s">
        <v>28</v>
      </c>
      <c r="D2" s="27" t="s">
        <v>29</v>
      </c>
      <c r="E2" s="6" t="s">
        <v>108</v>
      </c>
      <c r="F2" s="27" t="s">
        <v>30</v>
      </c>
      <c r="G2" s="6" t="s">
        <v>109</v>
      </c>
      <c r="H2" s="6" t="s">
        <v>110</v>
      </c>
      <c r="I2" s="27" t="s">
        <v>26</v>
      </c>
      <c r="J2" s="27" t="s">
        <v>31</v>
      </c>
      <c r="K2" s="27" t="s">
        <v>32</v>
      </c>
      <c r="L2" s="27" t="s">
        <v>33</v>
      </c>
      <c r="M2" s="27" t="s">
        <v>34</v>
      </c>
      <c r="N2" s="27" t="s">
        <v>35</v>
      </c>
      <c r="O2" s="27" t="s">
        <v>122</v>
      </c>
      <c r="P2" s="27" t="s">
        <v>36</v>
      </c>
      <c r="Q2" s="27" t="s">
        <v>44</v>
      </c>
      <c r="R2" s="27" t="s">
        <v>37</v>
      </c>
      <c r="S2" s="27" t="s">
        <v>38</v>
      </c>
      <c r="T2" s="27" t="s">
        <v>39</v>
      </c>
      <c r="U2" s="27" t="s">
        <v>27</v>
      </c>
      <c r="V2" s="27" t="s">
        <v>40</v>
      </c>
      <c r="W2" s="27"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220" s="477" customFormat="1">
      <c r="A3" s="27">
        <v>2021</v>
      </c>
      <c r="B3" s="531">
        <v>7</v>
      </c>
      <c r="C3" s="531">
        <v>2</v>
      </c>
      <c r="D3" s="532">
        <v>9</v>
      </c>
      <c r="E3" s="448">
        <v>11</v>
      </c>
      <c r="F3" s="532">
        <v>9</v>
      </c>
      <c r="G3" s="447">
        <v>5</v>
      </c>
      <c r="H3" s="447">
        <v>2</v>
      </c>
      <c r="I3" s="531">
        <v>46</v>
      </c>
      <c r="J3" s="531">
        <v>61</v>
      </c>
      <c r="K3" s="532">
        <v>107</v>
      </c>
      <c r="L3" s="531">
        <v>31</v>
      </c>
      <c r="M3" s="532">
        <v>77</v>
      </c>
      <c r="N3" s="531">
        <v>24</v>
      </c>
      <c r="O3" s="531">
        <v>85</v>
      </c>
      <c r="P3" s="438">
        <v>0.90590000000000004</v>
      </c>
      <c r="Q3" s="531">
        <v>24</v>
      </c>
      <c r="R3" s="531">
        <v>0</v>
      </c>
      <c r="S3" s="533">
        <v>1621412.95</v>
      </c>
      <c r="T3" s="600">
        <v>1621412.95</v>
      </c>
      <c r="U3" s="533">
        <v>1621412.95</v>
      </c>
      <c r="V3" s="534">
        <v>0</v>
      </c>
      <c r="W3" s="601">
        <v>0</v>
      </c>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c r="BO3" s="493"/>
      <c r="BP3" s="493"/>
      <c r="BQ3" s="493"/>
    </row>
    <row r="4" spans="1:220" s="442" customFormat="1">
      <c r="A4" s="11">
        <v>2020</v>
      </c>
      <c r="B4" s="479">
        <v>7</v>
      </c>
      <c r="C4" s="479">
        <v>2</v>
      </c>
      <c r="D4" s="23">
        <f>SUM(B4:C4)</f>
        <v>9</v>
      </c>
      <c r="E4" s="429">
        <v>8</v>
      </c>
      <c r="F4" s="23">
        <v>6</v>
      </c>
      <c r="G4" s="412">
        <v>5</v>
      </c>
      <c r="H4" s="412">
        <v>1</v>
      </c>
      <c r="I4" s="479">
        <v>31</v>
      </c>
      <c r="J4" s="479">
        <v>56</v>
      </c>
      <c r="K4" s="23">
        <f>SUM(I4:J4)</f>
        <v>87</v>
      </c>
      <c r="L4" s="479">
        <v>28</v>
      </c>
      <c r="M4" s="23">
        <v>59</v>
      </c>
      <c r="N4" s="479">
        <v>11</v>
      </c>
      <c r="O4" s="479">
        <v>67</v>
      </c>
      <c r="P4" s="184">
        <f t="shared" ref="P4" si="0">M4/O4</f>
        <v>0.88059701492537312</v>
      </c>
      <c r="Q4" s="479">
        <v>15</v>
      </c>
      <c r="R4" s="479">
        <v>0</v>
      </c>
      <c r="S4" s="634">
        <v>1439382</v>
      </c>
      <c r="T4" s="635">
        <f>SUM(U4:V4)</f>
        <v>1439382</v>
      </c>
      <c r="U4" s="634">
        <v>1439382</v>
      </c>
      <c r="V4" s="414">
        <v>0</v>
      </c>
      <c r="W4" s="335">
        <v>0</v>
      </c>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1"/>
      <c r="BP4" s="441"/>
      <c r="BQ4" s="441"/>
    </row>
    <row r="5" spans="1:220" s="17" customFormat="1">
      <c r="A5" s="11">
        <v>2019</v>
      </c>
      <c r="B5" s="409">
        <v>7</v>
      </c>
      <c r="C5" s="409">
        <v>1</v>
      </c>
      <c r="D5" s="410">
        <f>SUM(B5:C5)</f>
        <v>8</v>
      </c>
      <c r="E5" s="411">
        <f>ROUND((O5/B5), 0)</f>
        <v>6</v>
      </c>
      <c r="F5" s="411">
        <f>ROUND((O5/D5), 0)</f>
        <v>5</v>
      </c>
      <c r="G5" s="409">
        <v>5</v>
      </c>
      <c r="H5" s="409">
        <v>1</v>
      </c>
      <c r="I5" s="409">
        <v>20</v>
      </c>
      <c r="J5" s="409">
        <v>44</v>
      </c>
      <c r="K5" s="410">
        <f t="shared" ref="K5" si="1">SUM(I5:J5)</f>
        <v>64</v>
      </c>
      <c r="L5" s="409">
        <v>22</v>
      </c>
      <c r="M5" s="411">
        <f>(I5+L5)</f>
        <v>42</v>
      </c>
      <c r="N5" s="409">
        <v>5</v>
      </c>
      <c r="O5" s="409">
        <v>42</v>
      </c>
      <c r="P5" s="413">
        <f t="shared" ref="P5" si="2">M5/O5</f>
        <v>1</v>
      </c>
      <c r="Q5" s="409">
        <v>15</v>
      </c>
      <c r="R5" s="409">
        <v>0</v>
      </c>
      <c r="S5" s="414">
        <v>1482024.75</v>
      </c>
      <c r="T5" s="415">
        <f>SUM(U5:V5)</f>
        <v>1482024.75</v>
      </c>
      <c r="U5" s="414">
        <v>1482024.75</v>
      </c>
      <c r="V5" s="414">
        <v>0</v>
      </c>
      <c r="W5" s="335">
        <v>0</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7</v>
      </c>
      <c r="C6" s="20">
        <v>1</v>
      </c>
      <c r="D6" s="29">
        <f>SUM(B6:C6)</f>
        <v>8</v>
      </c>
      <c r="E6" s="172">
        <f>ROUND((O6/B6), 0)</f>
        <v>5</v>
      </c>
      <c r="F6" s="172">
        <f>ROUND((O6/D6), 0)</f>
        <v>5</v>
      </c>
      <c r="G6" s="20">
        <v>5</v>
      </c>
      <c r="H6" s="20">
        <v>1</v>
      </c>
      <c r="I6" s="20">
        <v>15</v>
      </c>
      <c r="J6" s="20">
        <v>51</v>
      </c>
      <c r="K6" s="29">
        <f t="shared" ref="K6" si="3">SUM(I6:J6)</f>
        <v>66</v>
      </c>
      <c r="L6" s="20">
        <v>23</v>
      </c>
      <c r="M6" s="172">
        <f>(I6+L6)</f>
        <v>38</v>
      </c>
      <c r="N6" s="20">
        <v>3</v>
      </c>
      <c r="O6" s="20">
        <v>38</v>
      </c>
      <c r="P6" s="183">
        <f t="shared" ref="P6" si="4">M6/O6</f>
        <v>1</v>
      </c>
      <c r="Q6" s="20">
        <v>5</v>
      </c>
      <c r="R6" s="20">
        <v>0</v>
      </c>
      <c r="S6" s="24">
        <v>1078037</v>
      </c>
      <c r="T6" s="30">
        <f>SUM(U6:V6)</f>
        <v>1078037</v>
      </c>
      <c r="U6" s="24">
        <v>1078037</v>
      </c>
      <c r="V6" s="24">
        <v>0</v>
      </c>
      <c r="W6" s="185">
        <f t="shared" ref="W6" si="5">V6/T6</f>
        <v>0</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11">
        <v>2017</v>
      </c>
      <c r="B7" s="20">
        <v>5</v>
      </c>
      <c r="C7" s="20">
        <v>1</v>
      </c>
      <c r="D7" s="34">
        <f>SUM(B7:C7)</f>
        <v>6</v>
      </c>
      <c r="E7" s="34">
        <f>ROUND((O7/B7), 0)</f>
        <v>7</v>
      </c>
      <c r="F7" s="34">
        <f>ROUND((O7/D7), 0)</f>
        <v>6</v>
      </c>
      <c r="G7" s="20">
        <v>4</v>
      </c>
      <c r="H7" s="20">
        <v>1</v>
      </c>
      <c r="I7" s="20">
        <v>7</v>
      </c>
      <c r="J7" s="20">
        <v>48</v>
      </c>
      <c r="K7" s="34">
        <f>SUM(I7:J7)</f>
        <v>55</v>
      </c>
      <c r="L7" s="20">
        <v>26</v>
      </c>
      <c r="M7" s="36">
        <f>(I7+L7)</f>
        <v>33</v>
      </c>
      <c r="N7" s="344">
        <v>3</v>
      </c>
      <c r="O7" s="344">
        <v>33</v>
      </c>
      <c r="P7" s="183">
        <f>M7/O7</f>
        <v>1</v>
      </c>
      <c r="Q7" s="20">
        <v>0</v>
      </c>
      <c r="R7" s="20">
        <v>0</v>
      </c>
      <c r="S7" s="300">
        <v>1100117</v>
      </c>
      <c r="T7" s="35">
        <f>SUM(U7:V7)</f>
        <v>1100117</v>
      </c>
      <c r="U7" s="341">
        <v>1100117</v>
      </c>
      <c r="V7" s="24">
        <v>0</v>
      </c>
      <c r="W7" s="185">
        <f>V7/T7</f>
        <v>0</v>
      </c>
    </row>
    <row r="8" spans="1:220" s="71" customFormat="1">
      <c r="A8" s="90">
        <v>2016</v>
      </c>
      <c r="B8" s="91">
        <v>5</v>
      </c>
      <c r="C8" s="91">
        <v>0</v>
      </c>
      <c r="D8" s="81">
        <f>SUM(B8:C8)</f>
        <v>5</v>
      </c>
      <c r="E8" s="82">
        <v>2</v>
      </c>
      <c r="F8" s="82">
        <v>2</v>
      </c>
      <c r="G8" s="83">
        <v>3</v>
      </c>
      <c r="H8" s="83">
        <v>0</v>
      </c>
      <c r="I8" s="91">
        <v>9</v>
      </c>
      <c r="J8" s="91">
        <v>1</v>
      </c>
      <c r="K8" s="81">
        <f>SUM(I8:J8)</f>
        <v>10</v>
      </c>
      <c r="L8" s="91">
        <v>0.6</v>
      </c>
      <c r="M8" s="82">
        <f>(I8+L8)</f>
        <v>9.6</v>
      </c>
      <c r="N8" s="91">
        <v>0</v>
      </c>
      <c r="O8" s="91">
        <v>10</v>
      </c>
      <c r="P8" s="183">
        <f>M8/O8</f>
        <v>0.96</v>
      </c>
      <c r="Q8" s="91">
        <v>30</v>
      </c>
      <c r="R8" s="91">
        <v>0</v>
      </c>
      <c r="S8" s="92">
        <v>1274316.07</v>
      </c>
      <c r="T8" s="85">
        <f>SUM(U8:V8)</f>
        <v>1278124.8799999999</v>
      </c>
      <c r="U8" s="92">
        <v>1278124.8799999999</v>
      </c>
      <c r="V8" s="92">
        <v>0</v>
      </c>
      <c r="W8" s="185">
        <f>V8/T8</f>
        <v>0</v>
      </c>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row>
    <row r="9" spans="1:220" s="71" customFormat="1">
      <c r="A9" s="709" t="s">
        <v>123</v>
      </c>
      <c r="B9" s="667"/>
      <c r="C9" s="667"/>
      <c r="D9" s="667"/>
      <c r="E9" s="667"/>
      <c r="F9" s="667"/>
      <c r="G9" s="667"/>
      <c r="H9" s="667"/>
      <c r="I9" s="667"/>
      <c r="J9" s="667"/>
      <c r="K9" s="667"/>
      <c r="L9" s="667"/>
      <c r="M9" s="667"/>
      <c r="N9" s="667"/>
      <c r="O9" s="667"/>
      <c r="P9" s="667"/>
      <c r="Q9" s="667"/>
      <c r="R9" s="667"/>
      <c r="S9" s="667"/>
      <c r="T9" s="667"/>
      <c r="U9" s="667"/>
      <c r="V9" s="667"/>
      <c r="W9" s="667"/>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row>
    <row r="10" spans="1:220" s="13" customFormat="1">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row>
    <row r="11" spans="1:220" s="13" customFormat="1">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row>
    <row r="12" spans="1:220" s="14" customFormat="1">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row>
    <row r="13" spans="1:220" s="14" customFormat="1">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row>
    <row r="14" spans="1:220" s="14" customFormat="1">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row>
    <row r="15" spans="1:220" s="14" customFormat="1">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row>
    <row r="16" spans="1:220" s="14" customFormat="1">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row>
    <row r="17" spans="24:69" s="14" customFormat="1">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row>
    <row r="18" spans="24:69" s="14" customFormat="1">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row>
    <row r="19" spans="24:69" s="14" customFormat="1">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row>
    <row r="20" spans="24:69" s="14" customFormat="1">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row>
    <row r="21" spans="24:69" s="14" customFormat="1">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row>
    <row r="22" spans="24:69" s="14" customFormat="1">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row>
  </sheetData>
  <mergeCells count="1">
    <mergeCell ref="A9:W9"/>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HL32"/>
  <sheetViews>
    <sheetView workbookViewId="0">
      <selection activeCell="E26" sqref="E26"/>
    </sheetView>
  </sheetViews>
  <sheetFormatPr defaultColWidth="8.7109375" defaultRowHeight="15"/>
  <cols>
    <col min="1" max="1" width="10.42578125" customWidth="1"/>
    <col min="2" max="2" width="10.28515625" bestFit="1" customWidth="1"/>
    <col min="3" max="3" width="8.42578125" bestFit="1" customWidth="1"/>
    <col min="4" max="4" width="9.28515625" bestFit="1" customWidth="1"/>
    <col min="5" max="5" width="12.28515625" bestFit="1" customWidth="1"/>
    <col min="6" max="6" width="11.42578125" bestFit="1" customWidth="1"/>
    <col min="7" max="8" width="12.28515625" customWidth="1"/>
    <col min="9" max="9" width="8.7109375" bestFit="1" customWidth="1"/>
    <col min="10" max="11" width="11.7109375" bestFit="1" customWidth="1"/>
    <col min="12" max="12" width="12.28515625" bestFit="1" customWidth="1"/>
    <col min="13" max="14" width="13.28515625" bestFit="1" customWidth="1"/>
    <col min="15" max="15" width="13.42578125" bestFit="1" customWidth="1"/>
    <col min="16" max="16" width="14.28515625" customWidth="1"/>
    <col min="17" max="17" width="12.42578125" bestFit="1" customWidth="1"/>
    <col min="18" max="18" width="9" bestFit="1" customWidth="1"/>
    <col min="19" max="19" width="11.7109375" bestFit="1" customWidth="1"/>
    <col min="20" max="20" width="12.7109375" bestFit="1" customWidth="1"/>
    <col min="21" max="21" width="10.28515625" bestFit="1" customWidth="1"/>
    <col min="22" max="22" width="10.7109375" bestFit="1" customWidth="1"/>
    <col min="23" max="23" width="12.7109375" bestFit="1" customWidth="1"/>
  </cols>
  <sheetData>
    <row r="1" spans="1:220" s="8" customFormat="1" ht="18.75">
      <c r="A1" s="1" t="s">
        <v>20</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10</v>
      </c>
      <c r="C3" s="409">
        <v>4.25</v>
      </c>
      <c r="D3" s="410">
        <f>SUM(B3:C3)</f>
        <v>14.25</v>
      </c>
      <c r="E3" s="411">
        <f t="shared" ref="E3" si="0">ROUND((O3/B3), 0)</f>
        <v>31</v>
      </c>
      <c r="F3" s="411">
        <f t="shared" ref="F3" si="1">ROUND((O3/D3), 0)</f>
        <v>21</v>
      </c>
      <c r="G3" s="409">
        <v>8</v>
      </c>
      <c r="H3" s="409">
        <v>2.75</v>
      </c>
      <c r="I3" s="409">
        <v>111</v>
      </c>
      <c r="J3" s="409">
        <v>270</v>
      </c>
      <c r="K3" s="410">
        <f>SUM(I3:J3)</f>
        <v>381</v>
      </c>
      <c r="L3" s="409">
        <v>97.2</v>
      </c>
      <c r="M3" s="411">
        <f>(I3+L3)</f>
        <v>208.2</v>
      </c>
      <c r="N3" s="409">
        <v>101</v>
      </c>
      <c r="O3" s="409">
        <v>305</v>
      </c>
      <c r="P3" s="413">
        <f>M3/O3</f>
        <v>0.68262295081967206</v>
      </c>
      <c r="Q3" s="409">
        <v>67</v>
      </c>
      <c r="R3" s="409">
        <v>53</v>
      </c>
      <c r="S3" s="414">
        <v>955935</v>
      </c>
      <c r="T3" s="415">
        <f>SUM(U3:V3)</f>
        <v>1957183</v>
      </c>
      <c r="U3" s="414">
        <v>1957183</v>
      </c>
      <c r="V3" s="414">
        <v>0</v>
      </c>
      <c r="W3" s="335">
        <f>V3/T3</f>
        <v>0</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9</v>
      </c>
      <c r="C4" s="409">
        <v>2.2999999999999998</v>
      </c>
      <c r="D4" s="410">
        <v>11.3</v>
      </c>
      <c r="E4" s="411">
        <v>30</v>
      </c>
      <c r="F4" s="411">
        <v>24</v>
      </c>
      <c r="G4" s="409">
        <v>7</v>
      </c>
      <c r="H4" s="409">
        <v>1.5</v>
      </c>
      <c r="I4" s="409">
        <v>92</v>
      </c>
      <c r="J4" s="409">
        <v>165</v>
      </c>
      <c r="K4" s="410">
        <v>257</v>
      </c>
      <c r="L4" s="409">
        <v>60</v>
      </c>
      <c r="M4" s="411">
        <v>152</v>
      </c>
      <c r="N4" s="409">
        <v>61</v>
      </c>
      <c r="O4" s="409">
        <v>274</v>
      </c>
      <c r="P4" s="413">
        <v>0.55469999999999997</v>
      </c>
      <c r="Q4" s="409">
        <v>49</v>
      </c>
      <c r="R4" s="409">
        <v>32</v>
      </c>
      <c r="S4" s="414">
        <v>801726</v>
      </c>
      <c r="T4" s="415">
        <v>921223</v>
      </c>
      <c r="U4" s="414">
        <v>917770</v>
      </c>
      <c r="V4" s="414">
        <v>5899</v>
      </c>
      <c r="W4" s="335">
        <f t="shared" ref="W4" si="2">V4/T4</f>
        <v>6.4034441172224317E-3</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9</v>
      </c>
      <c r="C5" s="409">
        <v>2</v>
      </c>
      <c r="D5" s="410">
        <f>SUM(B5:C5)</f>
        <v>11</v>
      </c>
      <c r="E5" s="411">
        <f>ROUND((O5/B5), 0)</f>
        <v>22</v>
      </c>
      <c r="F5" s="411">
        <f>ROUND((O5/D5), 0)</f>
        <v>18</v>
      </c>
      <c r="G5" s="409">
        <v>7</v>
      </c>
      <c r="H5" s="409">
        <v>0.5</v>
      </c>
      <c r="I5" s="409">
        <v>57</v>
      </c>
      <c r="J5" s="409">
        <v>128</v>
      </c>
      <c r="K5" s="410">
        <f>SUM(I5:J5)</f>
        <v>185</v>
      </c>
      <c r="L5" s="409">
        <v>105</v>
      </c>
      <c r="M5" s="411">
        <f>(I5+L5)</f>
        <v>162</v>
      </c>
      <c r="N5" s="409">
        <v>44</v>
      </c>
      <c r="O5" s="409">
        <v>195</v>
      </c>
      <c r="P5" s="413">
        <f>M5/O5</f>
        <v>0.83076923076923082</v>
      </c>
      <c r="Q5" s="409">
        <v>54</v>
      </c>
      <c r="R5" s="409">
        <v>20</v>
      </c>
      <c r="S5" s="414">
        <v>799389</v>
      </c>
      <c r="T5" s="415">
        <f>SUM(U5:V5)</f>
        <v>857436</v>
      </c>
      <c r="U5" s="414">
        <v>828931</v>
      </c>
      <c r="V5" s="414">
        <v>28505</v>
      </c>
      <c r="W5" s="335">
        <f>V5/T5</f>
        <v>3.3244463726738789E-2</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8</v>
      </c>
      <c r="C6" s="20">
        <v>3</v>
      </c>
      <c r="D6" s="29">
        <f>SUM(B6:C6)</f>
        <v>11</v>
      </c>
      <c r="E6" s="172">
        <f>ROUND((O6/B6), 0)</f>
        <v>21</v>
      </c>
      <c r="F6" s="172">
        <f>ROUND((O6/D6), 0)</f>
        <v>15</v>
      </c>
      <c r="G6" s="20">
        <v>6</v>
      </c>
      <c r="H6" s="20">
        <v>0.75</v>
      </c>
      <c r="I6" s="20">
        <v>48</v>
      </c>
      <c r="J6" s="20">
        <v>122</v>
      </c>
      <c r="K6" s="29">
        <f t="shared" ref="K6" si="3">SUM(I6:J6)</f>
        <v>170</v>
      </c>
      <c r="L6" s="20">
        <v>96</v>
      </c>
      <c r="M6" s="172">
        <f>(I6+L6)</f>
        <v>144</v>
      </c>
      <c r="N6" s="20">
        <v>45</v>
      </c>
      <c r="O6" s="20">
        <v>170</v>
      </c>
      <c r="P6" s="183">
        <f>M6/O6</f>
        <v>0.84705882352941175</v>
      </c>
      <c r="Q6" s="20">
        <v>41</v>
      </c>
      <c r="R6" s="20">
        <v>16</v>
      </c>
      <c r="S6" s="24">
        <v>789155</v>
      </c>
      <c r="T6" s="30">
        <f>SUM(U6:V6)</f>
        <v>929278</v>
      </c>
      <c r="U6" s="24">
        <v>899985</v>
      </c>
      <c r="V6" s="24">
        <v>29293</v>
      </c>
      <c r="W6" s="185">
        <f>V6/T6</f>
        <v>3.1522321630340973E-2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9</v>
      </c>
      <c r="C7" s="20">
        <v>1</v>
      </c>
      <c r="D7" s="34">
        <f>SUM(B7:C7)</f>
        <v>10</v>
      </c>
      <c r="E7" s="34">
        <f>ROUND((O7/B7), 0)</f>
        <v>15</v>
      </c>
      <c r="F7" s="34">
        <f>ROUND((O7/D7), 0)</f>
        <v>14</v>
      </c>
      <c r="G7" s="20">
        <v>7</v>
      </c>
      <c r="H7" s="20">
        <v>0.25</v>
      </c>
      <c r="I7" s="20">
        <v>42</v>
      </c>
      <c r="J7" s="20">
        <v>99</v>
      </c>
      <c r="K7" s="34">
        <f>SUM(I7:J7)</f>
        <v>141</v>
      </c>
      <c r="L7" s="20">
        <v>44</v>
      </c>
      <c r="M7" s="36">
        <f>(I7+L7)</f>
        <v>86</v>
      </c>
      <c r="N7" s="344">
        <v>37</v>
      </c>
      <c r="O7" s="344">
        <v>136.69999999999999</v>
      </c>
      <c r="P7" s="183">
        <f t="shared" ref="P7:P22" si="4">M7/O7</f>
        <v>0.62911485003657652</v>
      </c>
      <c r="Q7" s="20">
        <v>44</v>
      </c>
      <c r="R7" s="20">
        <v>19</v>
      </c>
      <c r="S7" s="300">
        <v>772635.17</v>
      </c>
      <c r="T7" s="35">
        <f>SUM(U7:V7)</f>
        <v>914283</v>
      </c>
      <c r="U7" s="341">
        <v>887518</v>
      </c>
      <c r="V7" s="24">
        <v>26765</v>
      </c>
      <c r="W7" s="185">
        <f t="shared" ref="W7:W22" si="5">V7/T7</f>
        <v>2.9274305658094923E-2</v>
      </c>
    </row>
    <row r="8" spans="1:220" s="65" customFormat="1">
      <c r="A8" s="95">
        <v>2016</v>
      </c>
      <c r="B8" s="63">
        <v>8</v>
      </c>
      <c r="C8" s="63">
        <v>2</v>
      </c>
      <c r="D8" s="81">
        <f>B8+C8</f>
        <v>10</v>
      </c>
      <c r="E8" s="82">
        <f>ROUND((O8/B8), 0)</f>
        <v>27</v>
      </c>
      <c r="F8" s="82">
        <f>ROUND((O8/D8), 0)</f>
        <v>22</v>
      </c>
      <c r="G8" s="63">
        <v>7</v>
      </c>
      <c r="H8" s="63">
        <v>0.5</v>
      </c>
      <c r="I8" s="63">
        <v>32</v>
      </c>
      <c r="J8" s="63">
        <v>104</v>
      </c>
      <c r="K8" s="81">
        <f>I8+J8</f>
        <v>136</v>
      </c>
      <c r="L8" s="63">
        <v>45</v>
      </c>
      <c r="M8" s="82">
        <f>I8+L8</f>
        <v>77</v>
      </c>
      <c r="N8" s="63">
        <v>27</v>
      </c>
      <c r="O8" s="63">
        <v>215</v>
      </c>
      <c r="P8" s="183">
        <f t="shared" si="4"/>
        <v>0.35813953488372091</v>
      </c>
      <c r="Q8" s="63">
        <v>36</v>
      </c>
      <c r="R8" s="63">
        <v>16</v>
      </c>
      <c r="S8" s="64">
        <v>785490</v>
      </c>
      <c r="T8" s="85">
        <f>SUM(U8:V8)</f>
        <v>897323</v>
      </c>
      <c r="U8" s="64">
        <v>823323</v>
      </c>
      <c r="V8" s="64">
        <v>74000</v>
      </c>
      <c r="W8" s="185">
        <f t="shared" si="5"/>
        <v>8.2467517270815527E-2</v>
      </c>
    </row>
    <row r="9" spans="1:220" s="105" customFormat="1">
      <c r="A9" s="267">
        <v>2015</v>
      </c>
      <c r="B9" s="91">
        <v>6</v>
      </c>
      <c r="C9" s="91">
        <v>7</v>
      </c>
      <c r="D9" s="81">
        <v>13</v>
      </c>
      <c r="E9" s="81">
        <v>43.2</v>
      </c>
      <c r="F9" s="81">
        <v>19.899999999999999</v>
      </c>
      <c r="G9" s="111"/>
      <c r="H9" s="111"/>
      <c r="I9" s="91">
        <v>28</v>
      </c>
      <c r="J9" s="91">
        <v>91</v>
      </c>
      <c r="K9" s="81">
        <v>119</v>
      </c>
      <c r="L9" s="91">
        <v>40</v>
      </c>
      <c r="M9" s="81">
        <v>67.75</v>
      </c>
      <c r="N9" s="91">
        <v>25</v>
      </c>
      <c r="O9" s="91">
        <v>259.27999999999997</v>
      </c>
      <c r="P9" s="183">
        <f t="shared" si="4"/>
        <v>0.26130052452946623</v>
      </c>
      <c r="Q9" s="91">
        <v>34</v>
      </c>
      <c r="R9" s="91">
        <v>16</v>
      </c>
      <c r="S9" s="102">
        <v>767840</v>
      </c>
      <c r="T9" s="103">
        <v>962265</v>
      </c>
      <c r="U9" s="102">
        <v>823323</v>
      </c>
      <c r="V9" s="102">
        <v>138942</v>
      </c>
      <c r="W9" s="185">
        <f t="shared" si="5"/>
        <v>0.14439057847890135</v>
      </c>
    </row>
    <row r="10" spans="1:220" s="105" customFormat="1">
      <c r="A10" s="90">
        <v>2014</v>
      </c>
      <c r="B10" s="91">
        <v>8</v>
      </c>
      <c r="C10" s="91">
        <v>1</v>
      </c>
      <c r="D10" s="81">
        <f>B10+C10</f>
        <v>9</v>
      </c>
      <c r="E10" s="82">
        <f t="shared" ref="E10:E22" si="6">ROUND((O10/B10), 0)</f>
        <v>34</v>
      </c>
      <c r="F10" s="82">
        <f t="shared" ref="F10:F22" si="7">ROUND((O10/D10), 0)</f>
        <v>30</v>
      </c>
      <c r="G10" s="111"/>
      <c r="H10" s="111"/>
      <c r="I10" s="91">
        <v>24</v>
      </c>
      <c r="J10" s="91">
        <v>86</v>
      </c>
      <c r="K10" s="81">
        <f>I10+J10</f>
        <v>110</v>
      </c>
      <c r="L10" s="91">
        <v>38.58</v>
      </c>
      <c r="M10" s="82">
        <f>I10+L10</f>
        <v>62.58</v>
      </c>
      <c r="N10" s="91">
        <v>19</v>
      </c>
      <c r="O10" s="91">
        <v>271</v>
      </c>
      <c r="P10" s="183">
        <f t="shared" si="4"/>
        <v>0.23092250922509225</v>
      </c>
      <c r="Q10" s="91">
        <v>70</v>
      </c>
      <c r="R10" s="91">
        <v>7</v>
      </c>
      <c r="S10" s="92">
        <v>957329</v>
      </c>
      <c r="T10" s="85">
        <f t="shared" ref="T10:T22" si="8">SUM(U10:V10)</f>
        <v>1057765</v>
      </c>
      <c r="U10" s="92">
        <v>955929</v>
      </c>
      <c r="V10" s="92">
        <v>101836</v>
      </c>
      <c r="W10" s="185">
        <f t="shared" si="5"/>
        <v>9.6274692393868197E-2</v>
      </c>
    </row>
    <row r="11" spans="1:220" s="71" customFormat="1">
      <c r="A11" s="90">
        <v>2013</v>
      </c>
      <c r="B11" s="361">
        <v>9</v>
      </c>
      <c r="C11" s="361">
        <v>1</v>
      </c>
      <c r="D11" s="108">
        <f>B11+C11</f>
        <v>10</v>
      </c>
      <c r="E11" s="109">
        <f t="shared" si="6"/>
        <v>22</v>
      </c>
      <c r="F11" s="109">
        <f t="shared" si="7"/>
        <v>20</v>
      </c>
      <c r="G11" s="113"/>
      <c r="H11" s="113"/>
      <c r="I11" s="361">
        <v>30</v>
      </c>
      <c r="J11" s="361">
        <v>107</v>
      </c>
      <c r="K11" s="108">
        <f>I11+J11</f>
        <v>137</v>
      </c>
      <c r="L11" s="361">
        <v>46.25</v>
      </c>
      <c r="M11" s="109">
        <f>I11+L11</f>
        <v>76.25</v>
      </c>
      <c r="N11" s="361">
        <v>16</v>
      </c>
      <c r="O11" s="361">
        <v>195.67</v>
      </c>
      <c r="P11" s="183">
        <f t="shared" si="4"/>
        <v>0.38968671743241173</v>
      </c>
      <c r="Q11" s="361">
        <v>57</v>
      </c>
      <c r="R11" s="361">
        <v>11</v>
      </c>
      <c r="S11" s="112">
        <v>879345</v>
      </c>
      <c r="T11" s="110">
        <f t="shared" si="8"/>
        <v>1066388</v>
      </c>
      <c r="U11" s="112">
        <v>837650</v>
      </c>
      <c r="V11" s="112">
        <v>228738</v>
      </c>
      <c r="W11" s="185">
        <f t="shared" si="5"/>
        <v>0.21449791257966144</v>
      </c>
    </row>
    <row r="12" spans="1:220" s="71" customFormat="1">
      <c r="A12" s="90">
        <v>2012</v>
      </c>
      <c r="B12" s="361">
        <v>9</v>
      </c>
      <c r="C12" s="361">
        <v>0.33</v>
      </c>
      <c r="D12" s="108">
        <f>B12+C12</f>
        <v>9.33</v>
      </c>
      <c r="E12" s="109">
        <f t="shared" si="6"/>
        <v>14</v>
      </c>
      <c r="F12" s="109">
        <f t="shared" si="7"/>
        <v>13</v>
      </c>
      <c r="G12" s="113"/>
      <c r="H12" s="113"/>
      <c r="I12" s="361">
        <v>33</v>
      </c>
      <c r="J12" s="361">
        <v>117</v>
      </c>
      <c r="K12" s="108">
        <f>I12+J12</f>
        <v>150</v>
      </c>
      <c r="L12" s="361">
        <v>50.209999999999994</v>
      </c>
      <c r="M12" s="109">
        <f>I12+L12</f>
        <v>83.21</v>
      </c>
      <c r="N12" s="361">
        <v>21</v>
      </c>
      <c r="O12" s="361">
        <v>121.98999999999998</v>
      </c>
      <c r="P12" s="183">
        <f t="shared" si="4"/>
        <v>0.68210509058119528</v>
      </c>
      <c r="Q12" s="361">
        <v>73</v>
      </c>
      <c r="R12" s="361">
        <v>10</v>
      </c>
      <c r="S12" s="112">
        <v>1171725</v>
      </c>
      <c r="T12" s="110">
        <f t="shared" si="8"/>
        <v>1084782</v>
      </c>
      <c r="U12" s="112">
        <v>837676</v>
      </c>
      <c r="V12" s="112">
        <v>247106</v>
      </c>
      <c r="W12" s="185">
        <f t="shared" si="5"/>
        <v>0.22779323403227561</v>
      </c>
    </row>
    <row r="13" spans="1:220" s="71" customFormat="1">
      <c r="A13" s="90" t="s">
        <v>81</v>
      </c>
      <c r="B13" s="361">
        <v>9</v>
      </c>
      <c r="C13" s="361">
        <v>1.25</v>
      </c>
      <c r="D13" s="108">
        <f t="shared" ref="D13:D22" si="9">SUM(B13:C13)</f>
        <v>10.25</v>
      </c>
      <c r="E13" s="109">
        <f t="shared" si="6"/>
        <v>17</v>
      </c>
      <c r="F13" s="109">
        <f t="shared" si="7"/>
        <v>15</v>
      </c>
      <c r="G13" s="113"/>
      <c r="H13" s="113"/>
      <c r="I13" s="361">
        <v>34</v>
      </c>
      <c r="J13" s="361">
        <v>126</v>
      </c>
      <c r="K13" s="108">
        <f t="shared" ref="K13:K22" si="10">SUM(I13:J13)</f>
        <v>160</v>
      </c>
      <c r="L13" s="361">
        <v>53</v>
      </c>
      <c r="M13" s="109">
        <f t="shared" ref="M13:M22" si="11">(I13+L13)</f>
        <v>87</v>
      </c>
      <c r="N13" s="361">
        <v>19</v>
      </c>
      <c r="O13" s="361">
        <v>150.19999999999999</v>
      </c>
      <c r="P13" s="183">
        <f t="shared" si="4"/>
        <v>0.57922769640479366</v>
      </c>
      <c r="Q13" s="361">
        <v>57</v>
      </c>
      <c r="R13" s="361">
        <v>11</v>
      </c>
      <c r="S13" s="112">
        <v>914777</v>
      </c>
      <c r="T13" s="110">
        <f t="shared" si="8"/>
        <v>1169759</v>
      </c>
      <c r="U13" s="112">
        <v>822778</v>
      </c>
      <c r="V13" s="112">
        <v>346981</v>
      </c>
      <c r="W13" s="185">
        <f t="shared" si="5"/>
        <v>0.29662605716220181</v>
      </c>
    </row>
    <row r="14" spans="1:220" s="79" customFormat="1">
      <c r="A14" s="90" t="s">
        <v>82</v>
      </c>
      <c r="B14" s="361">
        <v>8</v>
      </c>
      <c r="C14" s="361">
        <v>1</v>
      </c>
      <c r="D14" s="108">
        <f t="shared" si="9"/>
        <v>9</v>
      </c>
      <c r="E14" s="109">
        <f t="shared" si="6"/>
        <v>16</v>
      </c>
      <c r="F14" s="109">
        <f t="shared" si="7"/>
        <v>14</v>
      </c>
      <c r="G14" s="113"/>
      <c r="H14" s="113"/>
      <c r="I14" s="361">
        <v>34</v>
      </c>
      <c r="J14" s="361">
        <v>119</v>
      </c>
      <c r="K14" s="108">
        <f t="shared" si="10"/>
        <v>153</v>
      </c>
      <c r="L14" s="361">
        <v>49</v>
      </c>
      <c r="M14" s="109">
        <f t="shared" si="11"/>
        <v>83</v>
      </c>
      <c r="N14" s="361">
        <v>18</v>
      </c>
      <c r="O14" s="361">
        <v>129.08000000000001</v>
      </c>
      <c r="P14" s="183">
        <f t="shared" si="4"/>
        <v>0.64301208552835443</v>
      </c>
      <c r="Q14" s="361">
        <v>56</v>
      </c>
      <c r="R14" s="361">
        <v>13</v>
      </c>
      <c r="S14" s="112">
        <v>820192.75</v>
      </c>
      <c r="T14" s="110">
        <f t="shared" si="8"/>
        <v>1092789</v>
      </c>
      <c r="U14" s="112">
        <v>862590</v>
      </c>
      <c r="V14" s="112">
        <v>230199</v>
      </c>
      <c r="W14" s="185">
        <f t="shared" si="5"/>
        <v>0.21065274266120906</v>
      </c>
    </row>
    <row r="15" spans="1:220" s="71" customFormat="1">
      <c r="A15" s="90" t="s">
        <v>83</v>
      </c>
      <c r="B15" s="361">
        <v>8</v>
      </c>
      <c r="C15" s="361">
        <v>0.33</v>
      </c>
      <c r="D15" s="108">
        <f t="shared" si="9"/>
        <v>8.33</v>
      </c>
      <c r="E15" s="109">
        <f t="shared" si="6"/>
        <v>22</v>
      </c>
      <c r="F15" s="109">
        <f t="shared" si="7"/>
        <v>21</v>
      </c>
      <c r="G15" s="113"/>
      <c r="H15" s="113"/>
      <c r="I15" s="361">
        <v>26</v>
      </c>
      <c r="J15" s="361">
        <v>138</v>
      </c>
      <c r="K15" s="108">
        <f t="shared" si="10"/>
        <v>164</v>
      </c>
      <c r="L15" s="361">
        <v>73.33</v>
      </c>
      <c r="M15" s="109">
        <f t="shared" si="11"/>
        <v>99.33</v>
      </c>
      <c r="N15" s="361">
        <v>16</v>
      </c>
      <c r="O15" s="361">
        <v>176.82</v>
      </c>
      <c r="P15" s="183">
        <f t="shared" si="4"/>
        <v>0.56175771971496435</v>
      </c>
      <c r="Q15" s="361">
        <v>67</v>
      </c>
      <c r="R15" s="361">
        <v>7</v>
      </c>
      <c r="S15" s="112">
        <v>812460.62</v>
      </c>
      <c r="T15" s="110">
        <f t="shared" si="8"/>
        <v>1129173</v>
      </c>
      <c r="U15" s="112">
        <v>886017</v>
      </c>
      <c r="V15" s="112">
        <v>243156</v>
      </c>
      <c r="W15" s="185">
        <f t="shared" si="5"/>
        <v>0.21533989920056537</v>
      </c>
    </row>
    <row r="16" spans="1:220" s="71" customFormat="1">
      <c r="A16" s="90" t="s">
        <v>84</v>
      </c>
      <c r="B16" s="361">
        <v>9</v>
      </c>
      <c r="C16" s="361">
        <v>1.66</v>
      </c>
      <c r="D16" s="108">
        <f t="shared" si="9"/>
        <v>10.66</v>
      </c>
      <c r="E16" s="109">
        <f t="shared" si="6"/>
        <v>16</v>
      </c>
      <c r="F16" s="109">
        <f t="shared" si="7"/>
        <v>13</v>
      </c>
      <c r="G16" s="113"/>
      <c r="H16" s="113"/>
      <c r="I16" s="361">
        <v>19</v>
      </c>
      <c r="J16" s="361">
        <v>154</v>
      </c>
      <c r="K16" s="108">
        <f t="shared" si="10"/>
        <v>173</v>
      </c>
      <c r="L16" s="361">
        <v>85.44</v>
      </c>
      <c r="M16" s="109">
        <f t="shared" si="11"/>
        <v>104.44</v>
      </c>
      <c r="N16" s="361">
        <v>25</v>
      </c>
      <c r="O16" s="361">
        <v>141.27000000000001</v>
      </c>
      <c r="P16" s="183">
        <f t="shared" si="4"/>
        <v>0.73929355135556019</v>
      </c>
      <c r="Q16" s="361">
        <v>47</v>
      </c>
      <c r="R16" s="361">
        <v>11</v>
      </c>
      <c r="S16" s="112">
        <v>886957.25</v>
      </c>
      <c r="T16" s="110">
        <f t="shared" si="8"/>
        <v>1100678</v>
      </c>
      <c r="U16" s="112">
        <v>882604</v>
      </c>
      <c r="V16" s="112">
        <v>218074</v>
      </c>
      <c r="W16" s="185">
        <f t="shared" si="5"/>
        <v>0.19812697264776802</v>
      </c>
    </row>
    <row r="17" spans="1:23" s="71" customFormat="1">
      <c r="A17" s="90">
        <v>2007</v>
      </c>
      <c r="B17" s="361">
        <v>9</v>
      </c>
      <c r="C17" s="361">
        <v>2.6</v>
      </c>
      <c r="D17" s="194">
        <f t="shared" si="9"/>
        <v>11.6</v>
      </c>
      <c r="E17" s="109">
        <f t="shared" si="6"/>
        <v>16</v>
      </c>
      <c r="F17" s="109">
        <f t="shared" si="7"/>
        <v>13</v>
      </c>
      <c r="G17" s="113"/>
      <c r="H17" s="113"/>
      <c r="I17" s="361">
        <v>26</v>
      </c>
      <c r="J17" s="361">
        <v>145</v>
      </c>
      <c r="K17" s="194">
        <f t="shared" si="10"/>
        <v>171</v>
      </c>
      <c r="L17" s="361">
        <v>78.78</v>
      </c>
      <c r="M17" s="109">
        <f t="shared" si="11"/>
        <v>104.78</v>
      </c>
      <c r="N17" s="361">
        <v>29</v>
      </c>
      <c r="O17" s="361">
        <v>146.36000000000001</v>
      </c>
      <c r="P17" s="183">
        <f t="shared" si="4"/>
        <v>0.71590598524186932</v>
      </c>
      <c r="Q17" s="361">
        <v>44</v>
      </c>
      <c r="R17" s="361">
        <v>10</v>
      </c>
      <c r="S17" s="208">
        <v>778532</v>
      </c>
      <c r="T17" s="110">
        <f t="shared" si="8"/>
        <v>795033</v>
      </c>
      <c r="U17" s="208">
        <v>692621</v>
      </c>
      <c r="V17" s="208">
        <v>102412</v>
      </c>
      <c r="W17" s="185">
        <f t="shared" si="5"/>
        <v>0.12881477875761133</v>
      </c>
    </row>
    <row r="18" spans="1:23" s="71" customFormat="1">
      <c r="A18" s="90">
        <v>2006</v>
      </c>
      <c r="B18" s="361">
        <v>8</v>
      </c>
      <c r="C18" s="361">
        <v>2</v>
      </c>
      <c r="D18" s="194">
        <f t="shared" si="9"/>
        <v>10</v>
      </c>
      <c r="E18" s="109">
        <f t="shared" si="6"/>
        <v>18</v>
      </c>
      <c r="F18" s="109">
        <f t="shared" si="7"/>
        <v>14</v>
      </c>
      <c r="G18" s="113"/>
      <c r="H18" s="113"/>
      <c r="I18" s="361">
        <v>21</v>
      </c>
      <c r="J18" s="361">
        <v>150</v>
      </c>
      <c r="K18" s="194">
        <f t="shared" si="10"/>
        <v>171</v>
      </c>
      <c r="L18" s="361">
        <v>75</v>
      </c>
      <c r="M18" s="109">
        <f t="shared" si="11"/>
        <v>96</v>
      </c>
      <c r="N18" s="361">
        <v>29</v>
      </c>
      <c r="O18" s="361">
        <v>141</v>
      </c>
      <c r="P18" s="183">
        <f t="shared" si="4"/>
        <v>0.68085106382978722</v>
      </c>
      <c r="Q18" s="361">
        <v>59</v>
      </c>
      <c r="R18" s="361">
        <v>11</v>
      </c>
      <c r="S18" s="192">
        <v>690078</v>
      </c>
      <c r="T18" s="110">
        <f t="shared" si="8"/>
        <v>727767</v>
      </c>
      <c r="U18" s="192">
        <v>650979</v>
      </c>
      <c r="V18" s="192">
        <v>76788</v>
      </c>
      <c r="W18" s="185">
        <f t="shared" si="5"/>
        <v>0.10551179154866873</v>
      </c>
    </row>
    <row r="19" spans="1:23" s="71" customFormat="1">
      <c r="A19" s="90">
        <v>2005</v>
      </c>
      <c r="B19" s="361">
        <v>8</v>
      </c>
      <c r="C19" s="361">
        <v>1</v>
      </c>
      <c r="D19" s="194">
        <f t="shared" si="9"/>
        <v>9</v>
      </c>
      <c r="E19" s="109">
        <f t="shared" si="6"/>
        <v>19</v>
      </c>
      <c r="F19" s="109">
        <f t="shared" si="7"/>
        <v>17</v>
      </c>
      <c r="G19" s="113"/>
      <c r="H19" s="113"/>
      <c r="I19" s="361">
        <v>29</v>
      </c>
      <c r="J19" s="361">
        <v>136</v>
      </c>
      <c r="K19" s="194">
        <f t="shared" si="10"/>
        <v>165</v>
      </c>
      <c r="L19" s="361">
        <v>69</v>
      </c>
      <c r="M19" s="109">
        <f t="shared" si="11"/>
        <v>98</v>
      </c>
      <c r="N19" s="361">
        <v>27</v>
      </c>
      <c r="O19" s="361">
        <v>152</v>
      </c>
      <c r="P19" s="183">
        <f t="shared" si="4"/>
        <v>0.64473684210526316</v>
      </c>
      <c r="Q19" s="361">
        <v>39</v>
      </c>
      <c r="R19" s="361">
        <v>7</v>
      </c>
      <c r="S19" s="192">
        <v>634703</v>
      </c>
      <c r="T19" s="110">
        <f t="shared" si="8"/>
        <v>667127</v>
      </c>
      <c r="U19" s="192">
        <v>586990</v>
      </c>
      <c r="V19" s="192">
        <v>80137</v>
      </c>
      <c r="W19" s="185">
        <f t="shared" si="5"/>
        <v>0.12012255537551321</v>
      </c>
    </row>
    <row r="20" spans="1:23" s="71" customFormat="1">
      <c r="A20" s="90">
        <v>2004</v>
      </c>
      <c r="B20" s="195">
        <v>7</v>
      </c>
      <c r="C20" s="195">
        <v>2</v>
      </c>
      <c r="D20" s="194">
        <f t="shared" si="9"/>
        <v>9</v>
      </c>
      <c r="E20" s="109">
        <f t="shared" si="6"/>
        <v>19</v>
      </c>
      <c r="F20" s="109">
        <f t="shared" si="7"/>
        <v>15</v>
      </c>
      <c r="G20" s="113"/>
      <c r="H20" s="113"/>
      <c r="I20" s="195">
        <v>25</v>
      </c>
      <c r="J20" s="195">
        <v>128</v>
      </c>
      <c r="K20" s="194">
        <f t="shared" si="10"/>
        <v>153</v>
      </c>
      <c r="L20" s="195">
        <v>66</v>
      </c>
      <c r="M20" s="109">
        <f t="shared" si="11"/>
        <v>91</v>
      </c>
      <c r="N20" s="195">
        <v>16</v>
      </c>
      <c r="O20" s="195">
        <v>132</v>
      </c>
      <c r="P20" s="183">
        <f t="shared" si="4"/>
        <v>0.68939393939393945</v>
      </c>
      <c r="Q20" s="195">
        <v>53</v>
      </c>
      <c r="R20" s="361">
        <v>9</v>
      </c>
      <c r="S20" s="192">
        <v>544895</v>
      </c>
      <c r="T20" s="110">
        <f t="shared" si="8"/>
        <v>573667</v>
      </c>
      <c r="U20" s="192">
        <v>524749</v>
      </c>
      <c r="V20" s="192">
        <v>48918</v>
      </c>
      <c r="W20" s="185">
        <f t="shared" si="5"/>
        <v>8.5272466430873661E-2</v>
      </c>
    </row>
    <row r="21" spans="1:23" s="71" customFormat="1">
      <c r="A21" s="90">
        <v>2003</v>
      </c>
      <c r="B21" s="195">
        <v>6</v>
      </c>
      <c r="C21" s="195">
        <v>1</v>
      </c>
      <c r="D21" s="194">
        <f t="shared" si="9"/>
        <v>7</v>
      </c>
      <c r="E21" s="109">
        <f t="shared" si="6"/>
        <v>32</v>
      </c>
      <c r="F21" s="109">
        <f t="shared" si="7"/>
        <v>28</v>
      </c>
      <c r="G21" s="113"/>
      <c r="H21" s="113"/>
      <c r="I21" s="195">
        <v>41</v>
      </c>
      <c r="J21" s="195">
        <v>109</v>
      </c>
      <c r="K21" s="194">
        <f t="shared" si="10"/>
        <v>150</v>
      </c>
      <c r="L21" s="195">
        <v>55</v>
      </c>
      <c r="M21" s="109">
        <f t="shared" si="11"/>
        <v>96</v>
      </c>
      <c r="N21" s="195">
        <v>21</v>
      </c>
      <c r="O21" s="195">
        <v>194</v>
      </c>
      <c r="P21" s="183">
        <f t="shared" si="4"/>
        <v>0.49484536082474229</v>
      </c>
      <c r="Q21" s="195">
        <v>24</v>
      </c>
      <c r="R21" s="361">
        <v>5</v>
      </c>
      <c r="S21" s="192">
        <v>516287</v>
      </c>
      <c r="T21" s="110">
        <f t="shared" si="8"/>
        <v>534912</v>
      </c>
      <c r="U21" s="192">
        <v>521587</v>
      </c>
      <c r="V21" s="192">
        <v>13325</v>
      </c>
      <c r="W21" s="185">
        <f t="shared" si="5"/>
        <v>2.4910639507059105E-2</v>
      </c>
    </row>
    <row r="22" spans="1:23" s="71" customFormat="1">
      <c r="A22" s="90">
        <v>2002</v>
      </c>
      <c r="B22" s="195">
        <v>6</v>
      </c>
      <c r="C22" s="195">
        <v>0</v>
      </c>
      <c r="D22" s="194">
        <f t="shared" si="9"/>
        <v>6</v>
      </c>
      <c r="E22" s="109">
        <f t="shared" si="6"/>
        <v>25</v>
      </c>
      <c r="F22" s="109">
        <f t="shared" si="7"/>
        <v>25</v>
      </c>
      <c r="G22" s="113"/>
      <c r="H22" s="113"/>
      <c r="I22" s="195">
        <v>41</v>
      </c>
      <c r="J22" s="195">
        <v>36</v>
      </c>
      <c r="K22" s="194">
        <f t="shared" si="10"/>
        <v>77</v>
      </c>
      <c r="L22" s="195">
        <v>12</v>
      </c>
      <c r="M22" s="109">
        <f t="shared" si="11"/>
        <v>53</v>
      </c>
      <c r="N22" s="195">
        <v>10</v>
      </c>
      <c r="O22" s="195">
        <f>ROUND(151, 0)</f>
        <v>151</v>
      </c>
      <c r="P22" s="183">
        <f t="shared" si="4"/>
        <v>0.35099337748344372</v>
      </c>
      <c r="Q22" s="195">
        <v>32</v>
      </c>
      <c r="R22" s="361">
        <v>7</v>
      </c>
      <c r="S22" s="192">
        <v>486791</v>
      </c>
      <c r="T22" s="110">
        <f t="shared" si="8"/>
        <v>520633</v>
      </c>
      <c r="U22" s="192">
        <v>514327</v>
      </c>
      <c r="V22" s="192">
        <v>6306</v>
      </c>
      <c r="W22" s="185">
        <f t="shared" si="5"/>
        <v>1.2112178828464581E-2</v>
      </c>
    </row>
    <row r="23" spans="1:23" s="14" customFormat="1">
      <c r="G23"/>
      <c r="H23"/>
    </row>
    <row r="24" spans="1:23" s="14" customFormat="1">
      <c r="G24"/>
      <c r="H24"/>
    </row>
    <row r="25" spans="1:23" s="14" customFormat="1">
      <c r="G25"/>
      <c r="H25"/>
    </row>
    <row r="26" spans="1:23" s="14" customFormat="1">
      <c r="G26"/>
      <c r="H26"/>
    </row>
    <row r="27" spans="1:23" s="14" customFormat="1">
      <c r="G27"/>
      <c r="H27"/>
    </row>
    <row r="28" spans="1:23" s="14" customFormat="1">
      <c r="G28"/>
      <c r="H28"/>
    </row>
    <row r="29" spans="1:23" s="14" customFormat="1">
      <c r="G29"/>
      <c r="H29"/>
    </row>
    <row r="30" spans="1:23" s="14" customFormat="1">
      <c r="G30"/>
      <c r="H30"/>
    </row>
    <row r="31" spans="1:23" s="14" customFormat="1">
      <c r="G31"/>
      <c r="H31"/>
    </row>
    <row r="32" spans="1:23" s="14" customFormat="1">
      <c r="G32"/>
      <c r="H32"/>
    </row>
  </sheetData>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HL33"/>
  <sheetViews>
    <sheetView workbookViewId="0">
      <selection activeCell="D28" sqref="D28"/>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2.71093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53</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7</v>
      </c>
      <c r="C3" s="409">
        <v>1</v>
      </c>
      <c r="D3" s="410">
        <v>8</v>
      </c>
      <c r="E3" s="411">
        <v>15</v>
      </c>
      <c r="F3" s="411">
        <v>13</v>
      </c>
      <c r="G3" s="409">
        <v>7</v>
      </c>
      <c r="H3" s="409">
        <v>1</v>
      </c>
      <c r="I3" s="409">
        <v>83</v>
      </c>
      <c r="J3" s="409">
        <v>44</v>
      </c>
      <c r="K3" s="410">
        <v>127</v>
      </c>
      <c r="L3" s="409">
        <v>23</v>
      </c>
      <c r="M3" s="411">
        <v>106</v>
      </c>
      <c r="N3" s="409">
        <v>14</v>
      </c>
      <c r="O3" s="409">
        <v>106</v>
      </c>
      <c r="P3" s="413">
        <v>1</v>
      </c>
      <c r="Q3" s="409">
        <v>34</v>
      </c>
      <c r="R3" s="409">
        <v>0</v>
      </c>
      <c r="S3" s="414">
        <v>701586</v>
      </c>
      <c r="T3" s="415">
        <v>1623066</v>
      </c>
      <c r="U3" s="414">
        <v>1623066</v>
      </c>
      <c r="V3" s="414">
        <v>0</v>
      </c>
      <c r="W3" s="335">
        <v>0</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8</v>
      </c>
      <c r="C4" s="409">
        <v>1</v>
      </c>
      <c r="D4" s="410">
        <v>9</v>
      </c>
      <c r="E4" s="411">
        <v>12</v>
      </c>
      <c r="F4" s="411">
        <v>12</v>
      </c>
      <c r="G4" s="409">
        <v>8</v>
      </c>
      <c r="H4" s="409">
        <v>1</v>
      </c>
      <c r="I4" s="409">
        <v>92</v>
      </c>
      <c r="J4" s="409">
        <v>39</v>
      </c>
      <c r="K4" s="410">
        <v>131</v>
      </c>
      <c r="L4" s="409">
        <v>20</v>
      </c>
      <c r="M4" s="411">
        <v>112</v>
      </c>
      <c r="N4" s="409">
        <v>14</v>
      </c>
      <c r="O4" s="409">
        <v>112</v>
      </c>
      <c r="P4" s="413">
        <v>1</v>
      </c>
      <c r="Q4" s="409">
        <v>37</v>
      </c>
      <c r="R4" s="409">
        <v>0</v>
      </c>
      <c r="S4" s="414">
        <v>738543</v>
      </c>
      <c r="T4" s="415">
        <v>1476815</v>
      </c>
      <c r="U4" s="414">
        <v>1476815</v>
      </c>
      <c r="V4" s="414">
        <v>0</v>
      </c>
      <c r="W4" s="335">
        <f t="shared" ref="W4" si="0">V4/T4</f>
        <v>0</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8</v>
      </c>
      <c r="C5" s="409">
        <v>1</v>
      </c>
      <c r="D5" s="410">
        <f>SUM(B5:C5)</f>
        <v>9</v>
      </c>
      <c r="E5" s="411">
        <f>ROUND((O5/B5), 0)</f>
        <v>14</v>
      </c>
      <c r="F5" s="411">
        <f>ROUND((O5/D5), 0)</f>
        <v>13</v>
      </c>
      <c r="G5" s="409">
        <v>6.59</v>
      </c>
      <c r="H5" s="409">
        <v>1</v>
      </c>
      <c r="I5" s="409">
        <v>87</v>
      </c>
      <c r="J5" s="409">
        <v>47</v>
      </c>
      <c r="K5" s="410">
        <f>SUM(I5:J5)</f>
        <v>134</v>
      </c>
      <c r="L5" s="409">
        <v>24</v>
      </c>
      <c r="M5" s="411">
        <f>(I5+L5)</f>
        <v>111</v>
      </c>
      <c r="N5" s="409">
        <v>13</v>
      </c>
      <c r="O5" s="409">
        <v>113</v>
      </c>
      <c r="P5" s="413">
        <f>M5/O5</f>
        <v>0.98230088495575218</v>
      </c>
      <c r="Q5" s="409">
        <v>56</v>
      </c>
      <c r="R5" s="409">
        <v>0</v>
      </c>
      <c r="S5" s="414">
        <v>800515</v>
      </c>
      <c r="T5" s="415">
        <f>SUM(U5:V5)</f>
        <v>1390961</v>
      </c>
      <c r="U5" s="414">
        <v>1390961</v>
      </c>
      <c r="V5" s="414">
        <v>0</v>
      </c>
      <c r="W5" s="335">
        <f>V5/T5</f>
        <v>0</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8</v>
      </c>
      <c r="C6" s="20">
        <v>0.6</v>
      </c>
      <c r="D6" s="29">
        <f>SUM(B6:C6)</f>
        <v>8.6</v>
      </c>
      <c r="E6" s="172">
        <f>ROUND((O6/B6), 0)</f>
        <v>12</v>
      </c>
      <c r="F6" s="172">
        <f>ROUND((O6/D6), 0)</f>
        <v>11</v>
      </c>
      <c r="G6" s="20">
        <v>6.17</v>
      </c>
      <c r="H6" s="20">
        <v>0.6</v>
      </c>
      <c r="I6" s="20">
        <v>79</v>
      </c>
      <c r="J6" s="20">
        <v>40</v>
      </c>
      <c r="K6" s="29">
        <f t="shared" ref="K6" si="1">SUM(I6:J6)</f>
        <v>119</v>
      </c>
      <c r="L6" s="20">
        <v>13</v>
      </c>
      <c r="M6" s="172">
        <f>(I6+L6)</f>
        <v>92</v>
      </c>
      <c r="N6" s="20">
        <v>15</v>
      </c>
      <c r="O6" s="20">
        <v>95</v>
      </c>
      <c r="P6" s="183">
        <f>M6/O6</f>
        <v>0.96842105263157896</v>
      </c>
      <c r="Q6" s="20">
        <v>57</v>
      </c>
      <c r="R6" s="20">
        <v>0</v>
      </c>
      <c r="S6" s="24">
        <v>1092059</v>
      </c>
      <c r="T6" s="30">
        <f>SUM(U6:V6)</f>
        <v>1423574</v>
      </c>
      <c r="U6" s="24">
        <v>1423574</v>
      </c>
      <c r="V6" s="24">
        <v>0</v>
      </c>
      <c r="W6" s="185">
        <f>V6/T6</f>
        <v>0</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8</v>
      </c>
      <c r="C7" s="20">
        <v>0.4</v>
      </c>
      <c r="D7" s="34">
        <f>SUM(B7:C7)</f>
        <v>8.4</v>
      </c>
      <c r="E7" s="34">
        <f t="shared" ref="E7:E19" si="2">ROUND((O7/B7), 0)</f>
        <v>14</v>
      </c>
      <c r="F7" s="34">
        <f t="shared" ref="F7:F19" si="3">ROUND((O7/D7), 0)</f>
        <v>14</v>
      </c>
      <c r="G7" s="20">
        <v>8</v>
      </c>
      <c r="H7" s="20">
        <v>0.4</v>
      </c>
      <c r="I7" s="20">
        <v>90</v>
      </c>
      <c r="J7" s="20">
        <v>49</v>
      </c>
      <c r="K7" s="34">
        <f>SUM(I7:J7)</f>
        <v>139</v>
      </c>
      <c r="L7" s="20">
        <v>25</v>
      </c>
      <c r="M7" s="36">
        <f>(I7+L7)</f>
        <v>115</v>
      </c>
      <c r="N7" s="344">
        <v>12</v>
      </c>
      <c r="O7" s="344">
        <f>M7</f>
        <v>115</v>
      </c>
      <c r="P7" s="183">
        <f t="shared" ref="P7:P18" si="4">M7/O7</f>
        <v>1</v>
      </c>
      <c r="Q7" s="20">
        <v>30</v>
      </c>
      <c r="R7" s="20">
        <v>0</v>
      </c>
      <c r="S7" s="300">
        <v>1035949</v>
      </c>
      <c r="T7" s="35">
        <f>SUM(U7:V7)</f>
        <v>1466109</v>
      </c>
      <c r="U7" s="341">
        <f>1466109</f>
        <v>1466109</v>
      </c>
      <c r="V7" s="24">
        <v>0</v>
      </c>
      <c r="W7" s="185">
        <f t="shared" ref="W7:W19" si="5">V7/T7</f>
        <v>0</v>
      </c>
    </row>
    <row r="8" spans="1:220" s="65" customFormat="1">
      <c r="A8" s="95">
        <v>2016</v>
      </c>
      <c r="B8" s="63">
        <v>9</v>
      </c>
      <c r="C8" s="63">
        <v>0.6</v>
      </c>
      <c r="D8" s="81">
        <f>B8+C8</f>
        <v>9.6</v>
      </c>
      <c r="E8" s="82">
        <f t="shared" si="2"/>
        <v>13</v>
      </c>
      <c r="F8" s="82">
        <f t="shared" si="3"/>
        <v>12</v>
      </c>
      <c r="G8" s="63">
        <v>8</v>
      </c>
      <c r="H8" s="63">
        <v>0.6</v>
      </c>
      <c r="I8" s="63">
        <v>95</v>
      </c>
      <c r="J8" s="63">
        <v>36</v>
      </c>
      <c r="K8" s="81">
        <f>I8+J8</f>
        <v>131</v>
      </c>
      <c r="L8" s="63">
        <v>18.8</v>
      </c>
      <c r="M8" s="82">
        <f>I8+L8</f>
        <v>113.8</v>
      </c>
      <c r="N8" s="63">
        <v>11</v>
      </c>
      <c r="O8" s="63">
        <v>114</v>
      </c>
      <c r="P8" s="183">
        <f t="shared" si="4"/>
        <v>0.99824561403508771</v>
      </c>
      <c r="Q8" s="63">
        <v>49</v>
      </c>
      <c r="R8" s="63">
        <v>0</v>
      </c>
      <c r="S8" s="64">
        <v>1044968</v>
      </c>
      <c r="T8" s="85">
        <f>SUM(U8:V8)</f>
        <v>1124960</v>
      </c>
      <c r="U8" s="64">
        <v>1124960</v>
      </c>
      <c r="V8" s="64">
        <v>0</v>
      </c>
      <c r="W8" s="185">
        <f t="shared" si="5"/>
        <v>0</v>
      </c>
    </row>
    <row r="9" spans="1:220" s="105" customFormat="1">
      <c r="A9" s="267">
        <v>2015</v>
      </c>
      <c r="B9" s="91">
        <v>9</v>
      </c>
      <c r="C9" s="91">
        <v>0.4</v>
      </c>
      <c r="D9" s="81">
        <f>B9+C9</f>
        <v>9.4</v>
      </c>
      <c r="E9" s="82">
        <f t="shared" si="2"/>
        <v>20</v>
      </c>
      <c r="F9" s="82">
        <f t="shared" si="3"/>
        <v>19</v>
      </c>
      <c r="G9" s="111"/>
      <c r="H9" s="111"/>
      <c r="I9" s="91">
        <v>74</v>
      </c>
      <c r="J9" s="91">
        <v>70</v>
      </c>
      <c r="K9" s="81">
        <f>I9+J9</f>
        <v>144</v>
      </c>
      <c r="L9" s="91">
        <v>39</v>
      </c>
      <c r="M9" s="82">
        <f>I9+L9</f>
        <v>113</v>
      </c>
      <c r="N9" s="91">
        <v>10</v>
      </c>
      <c r="O9" s="91">
        <v>183</v>
      </c>
      <c r="P9" s="183">
        <f t="shared" si="4"/>
        <v>0.61748633879781423</v>
      </c>
      <c r="Q9" s="91">
        <v>65</v>
      </c>
      <c r="R9" s="91">
        <v>0</v>
      </c>
      <c r="S9" s="102">
        <v>1198839</v>
      </c>
      <c r="T9" s="103">
        <v>1140695</v>
      </c>
      <c r="U9" s="102">
        <v>1140695</v>
      </c>
      <c r="V9" s="102">
        <v>0</v>
      </c>
      <c r="W9" s="185">
        <f t="shared" si="5"/>
        <v>0</v>
      </c>
    </row>
    <row r="10" spans="1:220" s="168" customFormat="1">
      <c r="A10" s="90">
        <v>2014</v>
      </c>
      <c r="B10" s="91">
        <v>9</v>
      </c>
      <c r="C10" s="91">
        <v>1</v>
      </c>
      <c r="D10" s="81">
        <f>B10+C10</f>
        <v>10</v>
      </c>
      <c r="E10" s="82">
        <f t="shared" si="2"/>
        <v>15</v>
      </c>
      <c r="F10" s="82">
        <f t="shared" si="3"/>
        <v>13</v>
      </c>
      <c r="G10" s="111"/>
      <c r="H10" s="111"/>
      <c r="I10" s="91">
        <v>92</v>
      </c>
      <c r="J10" s="91">
        <v>70</v>
      </c>
      <c r="K10" s="81">
        <f>I10+J10</f>
        <v>162</v>
      </c>
      <c r="L10" s="91">
        <v>40</v>
      </c>
      <c r="M10" s="82">
        <f>I10+L10</f>
        <v>132</v>
      </c>
      <c r="N10" s="91">
        <v>13</v>
      </c>
      <c r="O10" s="91">
        <v>132</v>
      </c>
      <c r="P10" s="183">
        <f t="shared" si="4"/>
        <v>1</v>
      </c>
      <c r="Q10" s="91">
        <v>46</v>
      </c>
      <c r="R10" s="91">
        <v>0</v>
      </c>
      <c r="S10" s="92">
        <v>1179522</v>
      </c>
      <c r="T10" s="85">
        <f t="shared" ref="T10:T19" si="6">SUM(U10:V10)</f>
        <v>1128447</v>
      </c>
      <c r="U10" s="92">
        <v>1128447</v>
      </c>
      <c r="V10" s="92">
        <v>0</v>
      </c>
      <c r="W10" s="185">
        <f t="shared" si="5"/>
        <v>0</v>
      </c>
    </row>
    <row r="11" spans="1:220" s="71" customFormat="1">
      <c r="A11" s="90">
        <v>2013</v>
      </c>
      <c r="B11" s="353">
        <v>9</v>
      </c>
      <c r="C11" s="353">
        <v>1.4</v>
      </c>
      <c r="D11" s="108">
        <f>B11+C11</f>
        <v>10.4</v>
      </c>
      <c r="E11" s="109">
        <f t="shared" si="2"/>
        <v>17</v>
      </c>
      <c r="F11" s="109">
        <f t="shared" si="3"/>
        <v>15</v>
      </c>
      <c r="G11" s="113"/>
      <c r="H11" s="113"/>
      <c r="I11" s="353">
        <v>115</v>
      </c>
      <c r="J11" s="353">
        <v>73</v>
      </c>
      <c r="K11" s="108">
        <f>I11+J11</f>
        <v>188</v>
      </c>
      <c r="L11" s="353">
        <v>40</v>
      </c>
      <c r="M11" s="109">
        <f>I11+L11</f>
        <v>155</v>
      </c>
      <c r="N11" s="353">
        <v>10</v>
      </c>
      <c r="O11" s="353">
        <v>155</v>
      </c>
      <c r="P11" s="183">
        <f t="shared" si="4"/>
        <v>1</v>
      </c>
      <c r="Q11" s="353">
        <v>61</v>
      </c>
      <c r="R11" s="353">
        <v>0</v>
      </c>
      <c r="S11" s="112">
        <v>1110951</v>
      </c>
      <c r="T11" s="110">
        <f t="shared" si="6"/>
        <v>1071705</v>
      </c>
      <c r="U11" s="112">
        <v>1071705</v>
      </c>
      <c r="V11" s="112">
        <v>0</v>
      </c>
      <c r="W11" s="185">
        <f t="shared" si="5"/>
        <v>0</v>
      </c>
    </row>
    <row r="12" spans="1:220" s="71" customFormat="1">
      <c r="A12" s="90">
        <v>2012</v>
      </c>
      <c r="B12" s="353">
        <v>9</v>
      </c>
      <c r="C12" s="353">
        <v>1.2</v>
      </c>
      <c r="D12" s="108">
        <f>B12+C12</f>
        <v>10.199999999999999</v>
      </c>
      <c r="E12" s="109">
        <f t="shared" si="2"/>
        <v>16</v>
      </c>
      <c r="F12" s="109">
        <f t="shared" si="3"/>
        <v>14</v>
      </c>
      <c r="G12" s="113"/>
      <c r="H12" s="113"/>
      <c r="I12" s="353">
        <v>115</v>
      </c>
      <c r="J12" s="353">
        <v>70</v>
      </c>
      <c r="K12" s="108">
        <f>I12+J12</f>
        <v>185</v>
      </c>
      <c r="L12" s="353">
        <v>26</v>
      </c>
      <c r="M12" s="109">
        <f>I12+L12</f>
        <v>141</v>
      </c>
      <c r="N12" s="353">
        <v>14</v>
      </c>
      <c r="O12" s="353">
        <v>141</v>
      </c>
      <c r="P12" s="183">
        <f t="shared" si="4"/>
        <v>1</v>
      </c>
      <c r="Q12" s="353">
        <v>48</v>
      </c>
      <c r="R12" s="353">
        <v>0</v>
      </c>
      <c r="S12" s="112">
        <v>1161657</v>
      </c>
      <c r="T12" s="110">
        <f t="shared" si="6"/>
        <v>1101642</v>
      </c>
      <c r="U12" s="112">
        <v>1101642</v>
      </c>
      <c r="V12" s="112">
        <v>0</v>
      </c>
      <c r="W12" s="185">
        <f t="shared" si="5"/>
        <v>0</v>
      </c>
    </row>
    <row r="13" spans="1:220" s="71" customFormat="1">
      <c r="A13" s="90" t="s">
        <v>81</v>
      </c>
      <c r="B13" s="353">
        <v>9</v>
      </c>
      <c r="C13" s="353">
        <v>4.2</v>
      </c>
      <c r="D13" s="108">
        <f t="shared" ref="D13:D19" si="7">SUM(B13:C13)</f>
        <v>13.2</v>
      </c>
      <c r="E13" s="109">
        <f t="shared" si="2"/>
        <v>18</v>
      </c>
      <c r="F13" s="109">
        <f t="shared" si="3"/>
        <v>12</v>
      </c>
      <c r="G13" s="113"/>
      <c r="H13" s="113"/>
      <c r="I13" s="353">
        <v>125</v>
      </c>
      <c r="J13" s="353">
        <v>72</v>
      </c>
      <c r="K13" s="108">
        <f t="shared" ref="K13:K19" si="8">SUM(I13:J13)</f>
        <v>197</v>
      </c>
      <c r="L13" s="353">
        <v>35.5</v>
      </c>
      <c r="M13" s="109">
        <f t="shared" ref="M13:M19" si="9">(I13+L13)</f>
        <v>160.5</v>
      </c>
      <c r="N13" s="353">
        <v>13</v>
      </c>
      <c r="O13" s="353">
        <v>160.5</v>
      </c>
      <c r="P13" s="183">
        <f t="shared" si="4"/>
        <v>1</v>
      </c>
      <c r="Q13" s="353">
        <v>60</v>
      </c>
      <c r="R13" s="353">
        <v>0</v>
      </c>
      <c r="S13" s="112">
        <v>1035604</v>
      </c>
      <c r="T13" s="110">
        <f t="shared" si="6"/>
        <v>953351</v>
      </c>
      <c r="U13" s="112">
        <v>953351</v>
      </c>
      <c r="V13" s="112">
        <v>0</v>
      </c>
      <c r="W13" s="185">
        <f t="shared" si="5"/>
        <v>0</v>
      </c>
    </row>
    <row r="14" spans="1:220" s="71" customFormat="1">
      <c r="A14" s="90" t="s">
        <v>82</v>
      </c>
      <c r="B14" s="353">
        <v>9</v>
      </c>
      <c r="C14" s="353">
        <v>0.6</v>
      </c>
      <c r="D14" s="108">
        <f t="shared" si="7"/>
        <v>9.6</v>
      </c>
      <c r="E14" s="109">
        <f t="shared" si="2"/>
        <v>15</v>
      </c>
      <c r="F14" s="109">
        <f t="shared" si="3"/>
        <v>14</v>
      </c>
      <c r="G14" s="113"/>
      <c r="H14" s="113"/>
      <c r="I14" s="353">
        <v>97</v>
      </c>
      <c r="J14" s="353">
        <v>76</v>
      </c>
      <c r="K14" s="108">
        <f t="shared" si="8"/>
        <v>173</v>
      </c>
      <c r="L14" s="353">
        <v>38</v>
      </c>
      <c r="M14" s="109">
        <f t="shared" si="9"/>
        <v>135</v>
      </c>
      <c r="N14" s="353">
        <v>10</v>
      </c>
      <c r="O14" s="353">
        <v>135</v>
      </c>
      <c r="P14" s="183">
        <f t="shared" si="4"/>
        <v>1</v>
      </c>
      <c r="Q14" s="353">
        <v>28</v>
      </c>
      <c r="R14" s="353">
        <v>0</v>
      </c>
      <c r="S14" s="112">
        <v>954920</v>
      </c>
      <c r="T14" s="110">
        <f t="shared" si="6"/>
        <v>954920</v>
      </c>
      <c r="U14" s="112">
        <v>880679</v>
      </c>
      <c r="V14" s="112">
        <v>74241</v>
      </c>
      <c r="W14" s="185">
        <f t="shared" si="5"/>
        <v>7.7745779751183339E-2</v>
      </c>
    </row>
    <row r="15" spans="1:220" s="71" customFormat="1">
      <c r="A15" s="95" t="s">
        <v>83</v>
      </c>
      <c r="B15" s="353">
        <v>9</v>
      </c>
      <c r="C15" s="353">
        <v>0.83</v>
      </c>
      <c r="D15" s="108">
        <f t="shared" si="7"/>
        <v>9.83</v>
      </c>
      <c r="E15" s="109">
        <f t="shared" si="2"/>
        <v>13</v>
      </c>
      <c r="F15" s="109">
        <f t="shared" si="3"/>
        <v>12</v>
      </c>
      <c r="G15" s="113"/>
      <c r="H15" s="113"/>
      <c r="I15" s="353">
        <v>72</v>
      </c>
      <c r="J15" s="353">
        <v>87</v>
      </c>
      <c r="K15" s="108">
        <f t="shared" si="8"/>
        <v>159</v>
      </c>
      <c r="L15" s="353">
        <v>41.2</v>
      </c>
      <c r="M15" s="109">
        <f t="shared" si="9"/>
        <v>113.2</v>
      </c>
      <c r="N15" s="353">
        <v>12</v>
      </c>
      <c r="O15" s="353">
        <v>114.2</v>
      </c>
      <c r="P15" s="183">
        <f t="shared" si="4"/>
        <v>0.99124343257443082</v>
      </c>
      <c r="Q15" s="353">
        <v>21</v>
      </c>
      <c r="R15" s="353">
        <v>0</v>
      </c>
      <c r="S15" s="112">
        <v>863852</v>
      </c>
      <c r="T15" s="110">
        <f t="shared" si="6"/>
        <v>863852</v>
      </c>
      <c r="U15" s="112">
        <v>661500</v>
      </c>
      <c r="V15" s="112">
        <v>202352</v>
      </c>
      <c r="W15" s="185">
        <f t="shared" si="5"/>
        <v>0.2342438288040081</v>
      </c>
    </row>
    <row r="16" spans="1:220" s="71" customFormat="1">
      <c r="A16" s="90" t="s">
        <v>84</v>
      </c>
      <c r="B16" s="353">
        <v>8</v>
      </c>
      <c r="C16" s="353">
        <v>2.6669999999999998</v>
      </c>
      <c r="D16" s="108">
        <f t="shared" si="7"/>
        <v>10.667</v>
      </c>
      <c r="E16" s="109">
        <f t="shared" si="2"/>
        <v>23</v>
      </c>
      <c r="F16" s="109">
        <f t="shared" si="3"/>
        <v>17</v>
      </c>
      <c r="G16" s="113"/>
      <c r="H16" s="113"/>
      <c r="I16" s="353">
        <v>139</v>
      </c>
      <c r="J16" s="353">
        <v>81</v>
      </c>
      <c r="K16" s="108">
        <f t="shared" si="8"/>
        <v>220</v>
      </c>
      <c r="L16" s="353">
        <v>41</v>
      </c>
      <c r="M16" s="109">
        <f t="shared" si="9"/>
        <v>180</v>
      </c>
      <c r="N16" s="353">
        <v>11</v>
      </c>
      <c r="O16" s="353">
        <v>180</v>
      </c>
      <c r="P16" s="183">
        <f t="shared" si="4"/>
        <v>1</v>
      </c>
      <c r="Q16" s="353">
        <v>4</v>
      </c>
      <c r="R16" s="353">
        <v>0</v>
      </c>
      <c r="S16" s="112">
        <v>778295.76</v>
      </c>
      <c r="T16" s="110">
        <f t="shared" si="6"/>
        <v>930701</v>
      </c>
      <c r="U16" s="112">
        <v>651887</v>
      </c>
      <c r="V16" s="112">
        <v>278814</v>
      </c>
      <c r="W16" s="185">
        <f t="shared" si="5"/>
        <v>0.29957419192630069</v>
      </c>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row>
    <row r="17" spans="1:57" s="97" customFormat="1">
      <c r="A17" s="90">
        <v>2007</v>
      </c>
      <c r="B17" s="353">
        <v>8</v>
      </c>
      <c r="C17" s="353">
        <v>0</v>
      </c>
      <c r="D17" s="194">
        <f t="shared" si="7"/>
        <v>8</v>
      </c>
      <c r="E17" s="109">
        <f t="shared" si="2"/>
        <v>14</v>
      </c>
      <c r="F17" s="109">
        <f t="shared" si="3"/>
        <v>14</v>
      </c>
      <c r="G17" s="113"/>
      <c r="H17" s="113"/>
      <c r="I17" s="353">
        <v>88</v>
      </c>
      <c r="J17" s="353">
        <v>46</v>
      </c>
      <c r="K17" s="194">
        <f t="shared" si="8"/>
        <v>134</v>
      </c>
      <c r="L17" s="353">
        <v>23</v>
      </c>
      <c r="M17" s="109">
        <f t="shared" si="9"/>
        <v>111</v>
      </c>
      <c r="N17" s="353">
        <v>5</v>
      </c>
      <c r="O17" s="353">
        <v>111</v>
      </c>
      <c r="P17" s="183">
        <f t="shared" si="4"/>
        <v>1</v>
      </c>
      <c r="Q17" s="353">
        <v>0</v>
      </c>
      <c r="R17" s="353">
        <v>0</v>
      </c>
      <c r="S17" s="192">
        <v>735709</v>
      </c>
      <c r="T17" s="110">
        <f t="shared" si="6"/>
        <v>735709</v>
      </c>
      <c r="U17" s="192">
        <v>735709</v>
      </c>
      <c r="V17" s="100">
        <v>0</v>
      </c>
      <c r="W17" s="185">
        <f t="shared" si="5"/>
        <v>0</v>
      </c>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row>
    <row r="18" spans="1:57" s="97" customFormat="1">
      <c r="A18" s="90">
        <v>2006</v>
      </c>
      <c r="B18" s="353">
        <v>8.5</v>
      </c>
      <c r="C18" s="353">
        <v>1.3360000000000001</v>
      </c>
      <c r="D18" s="194">
        <f t="shared" si="7"/>
        <v>9.8360000000000003</v>
      </c>
      <c r="E18" s="109">
        <f t="shared" si="2"/>
        <v>6</v>
      </c>
      <c r="F18" s="109">
        <f t="shared" si="3"/>
        <v>5</v>
      </c>
      <c r="G18" s="113"/>
      <c r="H18" s="113"/>
      <c r="I18" s="353">
        <v>38</v>
      </c>
      <c r="J18" s="353">
        <v>23</v>
      </c>
      <c r="K18" s="194">
        <f t="shared" si="8"/>
        <v>61</v>
      </c>
      <c r="L18" s="353">
        <v>12</v>
      </c>
      <c r="M18" s="109">
        <f t="shared" si="9"/>
        <v>50</v>
      </c>
      <c r="N18" s="353">
        <v>3</v>
      </c>
      <c r="O18" s="353">
        <v>50</v>
      </c>
      <c r="P18" s="183">
        <f t="shared" si="4"/>
        <v>1</v>
      </c>
      <c r="Q18" s="353">
        <v>0</v>
      </c>
      <c r="R18" s="353">
        <v>0</v>
      </c>
      <c r="S18" s="192">
        <v>482920.06</v>
      </c>
      <c r="T18" s="110">
        <f t="shared" si="6"/>
        <v>482920</v>
      </c>
      <c r="U18" s="192">
        <v>482920</v>
      </c>
      <c r="V18" s="192">
        <v>0</v>
      </c>
      <c r="W18" s="185">
        <f t="shared" si="5"/>
        <v>0</v>
      </c>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row>
    <row r="19" spans="1:57" s="354" customFormat="1">
      <c r="A19" s="90">
        <v>2005</v>
      </c>
      <c r="B19" s="353">
        <v>5</v>
      </c>
      <c r="C19" s="353">
        <v>3</v>
      </c>
      <c r="D19" s="194">
        <f t="shared" si="7"/>
        <v>8</v>
      </c>
      <c r="E19" s="109">
        <f t="shared" si="2"/>
        <v>0</v>
      </c>
      <c r="F19" s="109">
        <f t="shared" si="3"/>
        <v>0</v>
      </c>
      <c r="G19" s="113"/>
      <c r="H19" s="113"/>
      <c r="I19" s="353">
        <v>0</v>
      </c>
      <c r="J19" s="353">
        <v>0</v>
      </c>
      <c r="K19" s="194">
        <f t="shared" si="8"/>
        <v>0</v>
      </c>
      <c r="L19" s="353">
        <v>0</v>
      </c>
      <c r="M19" s="109">
        <f t="shared" si="9"/>
        <v>0</v>
      </c>
      <c r="N19" s="353">
        <v>0</v>
      </c>
      <c r="O19" s="353">
        <v>0</v>
      </c>
      <c r="P19" s="306" t="s">
        <v>79</v>
      </c>
      <c r="Q19" s="353">
        <v>0</v>
      </c>
      <c r="R19" s="353">
        <v>0</v>
      </c>
      <c r="S19" s="192">
        <v>512118.66</v>
      </c>
      <c r="T19" s="110">
        <f t="shared" si="6"/>
        <v>512118.66</v>
      </c>
      <c r="U19" s="192">
        <v>512118.66</v>
      </c>
      <c r="V19" s="192">
        <v>0</v>
      </c>
      <c r="W19" s="185">
        <f t="shared" si="5"/>
        <v>0</v>
      </c>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row>
    <row r="20" spans="1:57">
      <c r="A20" s="712" t="s">
        <v>195</v>
      </c>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57" s="136" customFormat="1">
      <c r="A21" s="710" t="s">
        <v>172</v>
      </c>
      <c r="B21" s="711"/>
      <c r="C21" s="711"/>
      <c r="D21" s="711"/>
      <c r="E21" s="711"/>
      <c r="F21" s="711"/>
      <c r="G21" s="711"/>
      <c r="H21" s="711"/>
      <c r="I21" s="711"/>
      <c r="J21" s="711"/>
      <c r="K21" s="711"/>
      <c r="L21" s="711"/>
      <c r="M21" s="711"/>
      <c r="N21" s="711"/>
      <c r="O21" s="711"/>
      <c r="P21" s="711"/>
      <c r="Q21" s="711"/>
      <c r="R21" s="711"/>
      <c r="S21" s="711"/>
      <c r="T21" s="711"/>
      <c r="U21" s="711"/>
      <c r="V21" s="711"/>
      <c r="W21" s="711"/>
    </row>
    <row r="22" spans="1:57" s="71" customFormat="1">
      <c r="A22" s="675" t="s">
        <v>190</v>
      </c>
      <c r="B22" s="654"/>
      <c r="C22" s="654"/>
      <c r="D22" s="654"/>
      <c r="E22" s="654"/>
      <c r="F22" s="654"/>
      <c r="G22" s="654"/>
      <c r="H22" s="654"/>
      <c r="I22" s="654"/>
      <c r="J22" s="654"/>
      <c r="K22" s="654"/>
      <c r="L22" s="654"/>
      <c r="M22" s="654"/>
      <c r="N22" s="654"/>
      <c r="O22" s="654"/>
      <c r="P22" s="654"/>
      <c r="Q22" s="654"/>
      <c r="R22" s="654"/>
      <c r="S22" s="654"/>
      <c r="T22" s="654"/>
      <c r="U22" s="654"/>
      <c r="V22" s="654"/>
      <c r="W22" s="654"/>
    </row>
    <row r="23" spans="1:57" s="128" customFormat="1">
      <c r="A23" s="653" t="s">
        <v>191</v>
      </c>
      <c r="B23" s="654"/>
      <c r="C23" s="654"/>
      <c r="D23" s="654"/>
      <c r="E23" s="654"/>
      <c r="F23" s="654"/>
      <c r="G23" s="654"/>
      <c r="H23" s="654"/>
      <c r="I23" s="654"/>
      <c r="J23" s="654"/>
      <c r="K23" s="654"/>
      <c r="L23" s="654"/>
      <c r="M23" s="654"/>
      <c r="N23" s="654"/>
      <c r="O23" s="654"/>
      <c r="P23" s="654"/>
      <c r="Q23" s="654"/>
      <c r="R23" s="654"/>
      <c r="S23" s="654"/>
      <c r="T23" s="654"/>
      <c r="U23" s="654"/>
      <c r="V23" s="654"/>
      <c r="W23" s="667"/>
    </row>
    <row r="24" spans="1:57" s="13" customFormat="1">
      <c r="G24" s="26"/>
      <c r="H24" s="26"/>
    </row>
    <row r="25" spans="1:57" s="13" customFormat="1">
      <c r="G25" s="26"/>
      <c r="H25" s="26"/>
      <c r="S25" s="355"/>
    </row>
    <row r="26" spans="1:57" s="13" customFormat="1">
      <c r="G26" s="26"/>
      <c r="H26" s="26"/>
    </row>
    <row r="27" spans="1:57" s="13" customFormat="1">
      <c r="G27" s="26"/>
      <c r="H27" s="26"/>
    </row>
    <row r="28" spans="1:57" s="14" customFormat="1">
      <c r="G28"/>
      <c r="H28"/>
    </row>
    <row r="29" spans="1:57" s="14" customFormat="1">
      <c r="G29"/>
      <c r="H29"/>
    </row>
    <row r="30" spans="1:57" s="14" customFormat="1">
      <c r="G30"/>
      <c r="H30"/>
    </row>
    <row r="31" spans="1:57" s="14" customFormat="1">
      <c r="G31"/>
      <c r="H31"/>
    </row>
    <row r="32" spans="1:57" s="14" customFormat="1">
      <c r="G32"/>
      <c r="H32"/>
    </row>
    <row r="33" spans="7:8" s="14" customFormat="1">
      <c r="G33"/>
      <c r="H33"/>
    </row>
  </sheetData>
  <mergeCells count="4">
    <mergeCell ref="A21:W21"/>
    <mergeCell ref="A22:W22"/>
    <mergeCell ref="A23:W23"/>
    <mergeCell ref="A20:W20"/>
  </mergeCells>
  <printOptions headings="1" gridLines="1"/>
  <pageMargins left="0.5" right="0.5" top="0.5" bottom="0.5" header="0" footer="0"/>
  <pageSetup paperSize="5" scale="67"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HL32"/>
  <sheetViews>
    <sheetView workbookViewId="0">
      <selection activeCell="D28" sqref="D28"/>
    </sheetView>
  </sheetViews>
  <sheetFormatPr defaultColWidth="8.85546875" defaultRowHeight="15"/>
  <cols>
    <col min="1" max="1" width="9"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76</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16" customFormat="1">
      <c r="A3" s="6">
        <v>2021</v>
      </c>
      <c r="B3" s="412">
        <v>5</v>
      </c>
      <c r="C3" s="412">
        <v>1</v>
      </c>
      <c r="D3" s="429">
        <f>SUM(B3:C3)</f>
        <v>6</v>
      </c>
      <c r="E3" s="429">
        <f>ROUND(O3/B3,0)</f>
        <v>16</v>
      </c>
      <c r="F3" s="429">
        <f>ROUND(O3/D3,0)</f>
        <v>13</v>
      </c>
      <c r="G3" s="412">
        <v>5</v>
      </c>
      <c r="H3" s="412">
        <v>1</v>
      </c>
      <c r="I3" s="412">
        <v>13</v>
      </c>
      <c r="J3" s="412">
        <v>104</v>
      </c>
      <c r="K3" s="429">
        <f>SUM(I3:J3)</f>
        <v>117</v>
      </c>
      <c r="L3" s="412">
        <v>64</v>
      </c>
      <c r="M3" s="429">
        <f>I3+L3</f>
        <v>77</v>
      </c>
      <c r="N3" s="412">
        <v>26</v>
      </c>
      <c r="O3" s="412">
        <v>78.67</v>
      </c>
      <c r="P3" s="491">
        <f>M3/O3</f>
        <v>0.97877208592856235</v>
      </c>
      <c r="Q3" s="412">
        <v>53</v>
      </c>
      <c r="R3" s="412">
        <v>3</v>
      </c>
      <c r="S3" s="440">
        <v>1455978</v>
      </c>
      <c r="T3" s="431">
        <f t="shared" ref="T3" si="0">SUM(U3:V3)</f>
        <v>1455978</v>
      </c>
      <c r="U3" s="440">
        <v>1455978</v>
      </c>
      <c r="V3" s="445">
        <v>0</v>
      </c>
      <c r="W3" s="492">
        <f>V3/T3</f>
        <v>0</v>
      </c>
    </row>
    <row r="4" spans="1:220" s="493" customFormat="1">
      <c r="A4" s="11">
        <v>2020</v>
      </c>
      <c r="B4" s="412">
        <v>5</v>
      </c>
      <c r="C4" s="412">
        <v>1</v>
      </c>
      <c r="D4" s="429">
        <f>SUM(B4:C4)</f>
        <v>6</v>
      </c>
      <c r="E4" s="429">
        <f>ROUND(O4/B4,0)</f>
        <v>17</v>
      </c>
      <c r="F4" s="429">
        <f>ROUND(O4/D4,0)</f>
        <v>14</v>
      </c>
      <c r="G4" s="412">
        <v>5</v>
      </c>
      <c r="H4" s="412">
        <v>1</v>
      </c>
      <c r="I4" s="412">
        <v>16</v>
      </c>
      <c r="J4" s="412">
        <v>116</v>
      </c>
      <c r="K4" s="429">
        <f>SUM(I4:J4)</f>
        <v>132</v>
      </c>
      <c r="L4" s="412">
        <v>67</v>
      </c>
      <c r="M4" s="429">
        <f>I4+L4</f>
        <v>83</v>
      </c>
      <c r="N4" s="412">
        <v>31</v>
      </c>
      <c r="O4" s="412">
        <v>85</v>
      </c>
      <c r="P4" s="491">
        <f>M4/O4</f>
        <v>0.97647058823529409</v>
      </c>
      <c r="Q4" s="412">
        <v>26</v>
      </c>
      <c r="R4" s="412">
        <v>0</v>
      </c>
      <c r="S4" s="440">
        <v>1551031</v>
      </c>
      <c r="T4" s="431">
        <f>SUM(U4:V4)</f>
        <v>1551031</v>
      </c>
      <c r="U4" s="445">
        <v>1551031</v>
      </c>
      <c r="V4" s="445">
        <v>0</v>
      </c>
      <c r="W4" s="492">
        <f>V4/T4</f>
        <v>0</v>
      </c>
    </row>
    <row r="5" spans="1:220" s="493" customFormat="1">
      <c r="A5" s="11">
        <v>2019</v>
      </c>
      <c r="B5" s="412">
        <v>5</v>
      </c>
      <c r="C5" s="412">
        <v>2</v>
      </c>
      <c r="D5" s="429">
        <f>SUM(B5:C5)</f>
        <v>7</v>
      </c>
      <c r="E5" s="429">
        <f>ROUND(M5/B5,0)</f>
        <v>18</v>
      </c>
      <c r="F5" s="429">
        <f>ROUND(M5/D5,0)</f>
        <v>13</v>
      </c>
      <c r="G5" s="412">
        <v>5</v>
      </c>
      <c r="H5" s="412">
        <v>2</v>
      </c>
      <c r="I5" s="412">
        <v>21</v>
      </c>
      <c r="J5" s="412">
        <v>116</v>
      </c>
      <c r="K5" s="429">
        <f>SUM(I5:J5)</f>
        <v>137</v>
      </c>
      <c r="L5" s="412">
        <v>67</v>
      </c>
      <c r="M5" s="429">
        <f>I5+L5</f>
        <v>88</v>
      </c>
      <c r="N5" s="412">
        <v>29</v>
      </c>
      <c r="O5" s="412">
        <v>92.33</v>
      </c>
      <c r="P5" s="491">
        <f>M5/O5</f>
        <v>0.95310300010830717</v>
      </c>
      <c r="Q5" s="412">
        <v>29</v>
      </c>
      <c r="R5" s="412">
        <v>0</v>
      </c>
      <c r="S5" s="440">
        <v>1671994</v>
      </c>
      <c r="T5" s="429">
        <f>SUM(U5:V5)</f>
        <v>1671994</v>
      </c>
      <c r="U5" s="445">
        <v>1663994</v>
      </c>
      <c r="V5" s="445">
        <v>8000</v>
      </c>
      <c r="W5" s="492">
        <f>V5/T5</f>
        <v>4.7847061652135118E-3</v>
      </c>
    </row>
    <row r="6" spans="1:220" s="17" customFormat="1">
      <c r="A6" s="33">
        <v>2018</v>
      </c>
      <c r="B6" s="20">
        <v>5</v>
      </c>
      <c r="C6" s="20">
        <v>2</v>
      </c>
      <c r="D6" s="29">
        <f>SUM(B6:C6)</f>
        <v>7</v>
      </c>
      <c r="E6" s="172">
        <f>ROUND((O6/B6), 0)</f>
        <v>17</v>
      </c>
      <c r="F6" s="172">
        <f>ROUND((O6/D6), 0)</f>
        <v>12</v>
      </c>
      <c r="G6" s="20">
        <v>5</v>
      </c>
      <c r="H6" s="20">
        <v>2</v>
      </c>
      <c r="I6" s="20">
        <v>29</v>
      </c>
      <c r="J6" s="20">
        <v>83</v>
      </c>
      <c r="K6" s="29">
        <f t="shared" ref="K6" si="1">SUM(I6:J6)</f>
        <v>112</v>
      </c>
      <c r="L6" s="20">
        <v>51.99</v>
      </c>
      <c r="M6" s="172">
        <f>(I6+L6)</f>
        <v>80.990000000000009</v>
      </c>
      <c r="N6" s="20">
        <v>25</v>
      </c>
      <c r="O6" s="20">
        <v>84.99</v>
      </c>
      <c r="P6" s="183">
        <f>M6/O6</f>
        <v>0.95293563948699866</v>
      </c>
      <c r="Q6" s="20">
        <v>23</v>
      </c>
      <c r="R6" s="20">
        <v>0</v>
      </c>
      <c r="S6" s="392">
        <v>1638451.42</v>
      </c>
      <c r="T6" s="30">
        <f>SUM(U6:V6)</f>
        <v>1638451.42</v>
      </c>
      <c r="U6" s="24">
        <v>1623101.42</v>
      </c>
      <c r="V6" s="24">
        <v>15350</v>
      </c>
      <c r="W6" s="185">
        <f>V6/T6</f>
        <v>9.3686024575571486E-3</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5</v>
      </c>
      <c r="C7" s="349">
        <f>4/3</f>
        <v>1.3333333333333333</v>
      </c>
      <c r="D7" s="140">
        <f>SUM(B7:C7)</f>
        <v>6.333333333333333</v>
      </c>
      <c r="E7" s="34">
        <f>ROUND((O7/B7), 0)</f>
        <v>11</v>
      </c>
      <c r="F7" s="34">
        <f>ROUND((O7/D7), 0)</f>
        <v>8</v>
      </c>
      <c r="G7" s="20">
        <v>5</v>
      </c>
      <c r="H7" s="349">
        <f>4/3</f>
        <v>1.3333333333333333</v>
      </c>
      <c r="I7" s="20">
        <v>29</v>
      </c>
      <c r="J7" s="20">
        <v>38</v>
      </c>
      <c r="K7" s="34">
        <f>SUM(I7:J7)</f>
        <v>67</v>
      </c>
      <c r="L7" s="20">
        <v>21.66</v>
      </c>
      <c r="M7" s="36">
        <f>(I7+L7)</f>
        <v>50.66</v>
      </c>
      <c r="N7" s="344">
        <v>19</v>
      </c>
      <c r="O7" s="344">
        <v>53.67</v>
      </c>
      <c r="P7" s="183">
        <f t="shared" ref="P7:P22" si="2">M7/O7</f>
        <v>0.94391652692379346</v>
      </c>
      <c r="Q7" s="20">
        <v>31</v>
      </c>
      <c r="R7" s="20">
        <v>0</v>
      </c>
      <c r="S7" s="300">
        <v>1591829.74</v>
      </c>
      <c r="T7" s="35">
        <f>SUM(U7:V7)</f>
        <v>1591829.74</v>
      </c>
      <c r="U7" s="341">
        <v>1570268.74</v>
      </c>
      <c r="V7" s="24">
        <v>21561</v>
      </c>
      <c r="W7" s="185">
        <f t="shared" ref="W7:W22" si="3">V7/T7</f>
        <v>1.3544790286428497E-2</v>
      </c>
    </row>
    <row r="8" spans="1:220" s="65" customFormat="1">
      <c r="A8" s="95">
        <v>2016</v>
      </c>
      <c r="B8" s="63">
        <v>5</v>
      </c>
      <c r="C8" s="63">
        <v>2</v>
      </c>
      <c r="D8" s="81">
        <f>B8+C8</f>
        <v>7</v>
      </c>
      <c r="E8" s="82">
        <f>ROUND((O8/B8), 0)</f>
        <v>11</v>
      </c>
      <c r="F8" s="82">
        <f>ROUND((O8/D8), 0)</f>
        <v>8</v>
      </c>
      <c r="G8" s="83">
        <v>5</v>
      </c>
      <c r="H8" s="83">
        <v>2</v>
      </c>
      <c r="I8" s="63">
        <v>35</v>
      </c>
      <c r="J8" s="63">
        <v>33</v>
      </c>
      <c r="K8" s="81">
        <f>I8+J8</f>
        <v>68</v>
      </c>
      <c r="L8" s="63">
        <v>19</v>
      </c>
      <c r="M8" s="82">
        <f>I8+L8</f>
        <v>54</v>
      </c>
      <c r="N8" s="63">
        <v>14</v>
      </c>
      <c r="O8" s="63">
        <v>56.67</v>
      </c>
      <c r="P8" s="183">
        <f t="shared" si="2"/>
        <v>0.95288512440444673</v>
      </c>
      <c r="Q8" s="63">
        <v>25</v>
      </c>
      <c r="R8" s="63">
        <v>0</v>
      </c>
      <c r="S8" s="63">
        <v>1225727</v>
      </c>
      <c r="T8" s="85">
        <f>SUM(U8:V8)</f>
        <v>1307324</v>
      </c>
      <c r="U8" s="63">
        <v>1266324</v>
      </c>
      <c r="V8" s="63">
        <v>41000</v>
      </c>
      <c r="W8" s="185">
        <f t="shared" si="3"/>
        <v>3.1361774127913203E-2</v>
      </c>
    </row>
    <row r="9" spans="1:220" s="105" customFormat="1">
      <c r="A9" s="267">
        <v>2015</v>
      </c>
      <c r="B9" s="91">
        <v>5</v>
      </c>
      <c r="C9" s="91">
        <v>2</v>
      </c>
      <c r="D9" s="81">
        <v>7</v>
      </c>
      <c r="E9" s="81">
        <v>11</v>
      </c>
      <c r="F9" s="81">
        <v>7.9</v>
      </c>
      <c r="G9" s="111"/>
      <c r="H9" s="111"/>
      <c r="I9" s="91">
        <v>35</v>
      </c>
      <c r="J9" s="91">
        <v>30</v>
      </c>
      <c r="K9" s="81">
        <v>65</v>
      </c>
      <c r="L9" s="91">
        <v>16</v>
      </c>
      <c r="M9" s="81">
        <v>51.34</v>
      </c>
      <c r="N9" s="91">
        <v>12</v>
      </c>
      <c r="O9" s="91">
        <v>55</v>
      </c>
      <c r="P9" s="183">
        <f t="shared" si="2"/>
        <v>0.93345454545454554</v>
      </c>
      <c r="Q9" s="91">
        <v>26</v>
      </c>
      <c r="R9" s="91">
        <v>0</v>
      </c>
      <c r="S9" s="102">
        <v>1545542</v>
      </c>
      <c r="T9" s="103">
        <v>1206646</v>
      </c>
      <c r="U9" s="102">
        <v>1196646</v>
      </c>
      <c r="V9" s="102">
        <v>10000</v>
      </c>
      <c r="W9" s="185">
        <f t="shared" si="3"/>
        <v>8.2874347571698734E-3</v>
      </c>
    </row>
    <row r="10" spans="1:220" s="168" customFormat="1">
      <c r="A10" s="90">
        <v>2014</v>
      </c>
      <c r="B10" s="91">
        <v>4</v>
      </c>
      <c r="C10" s="91">
        <v>2</v>
      </c>
      <c r="D10" s="81">
        <f>B10+C10</f>
        <v>6</v>
      </c>
      <c r="E10" s="82">
        <f t="shared" ref="E10:E22" si="4">ROUND((O10/B10), 0)</f>
        <v>14</v>
      </c>
      <c r="F10" s="82">
        <f t="shared" ref="F10:F22" si="5">ROUND((O10/D10), 0)</f>
        <v>9</v>
      </c>
      <c r="G10" s="111"/>
      <c r="H10" s="111"/>
      <c r="I10" s="91">
        <v>35</v>
      </c>
      <c r="J10" s="91">
        <v>29</v>
      </c>
      <c r="K10" s="81">
        <f>I10+J10</f>
        <v>64</v>
      </c>
      <c r="L10" s="91">
        <v>16</v>
      </c>
      <c r="M10" s="82">
        <f>I10+L10</f>
        <v>51</v>
      </c>
      <c r="N10" s="91">
        <v>15</v>
      </c>
      <c r="O10" s="91">
        <v>56</v>
      </c>
      <c r="P10" s="183">
        <f t="shared" si="2"/>
        <v>0.9107142857142857</v>
      </c>
      <c r="Q10" s="91">
        <v>26</v>
      </c>
      <c r="R10" s="91">
        <v>1</v>
      </c>
      <c r="S10" s="92">
        <v>1311023</v>
      </c>
      <c r="T10" s="85">
        <f t="shared" ref="T10:T22" si="6">SUM(U10:V10)</f>
        <v>1311023</v>
      </c>
      <c r="U10" s="92">
        <v>1311023</v>
      </c>
      <c r="V10" s="92">
        <v>0</v>
      </c>
      <c r="W10" s="185">
        <f t="shared" si="3"/>
        <v>0</v>
      </c>
    </row>
    <row r="11" spans="1:220" s="71" customFormat="1">
      <c r="A11" s="90">
        <v>2013</v>
      </c>
      <c r="B11" s="353">
        <v>6.5</v>
      </c>
      <c r="C11" s="353">
        <v>0.5</v>
      </c>
      <c r="D11" s="108">
        <f>B11+C11</f>
        <v>7</v>
      </c>
      <c r="E11" s="109">
        <f t="shared" si="4"/>
        <v>8</v>
      </c>
      <c r="F11" s="109">
        <f t="shared" si="5"/>
        <v>8</v>
      </c>
      <c r="G11" s="113"/>
      <c r="H11" s="113"/>
      <c r="I11" s="353">
        <v>33</v>
      </c>
      <c r="J11" s="353">
        <v>31</v>
      </c>
      <c r="K11" s="108">
        <f>I11+J11</f>
        <v>64</v>
      </c>
      <c r="L11" s="353">
        <v>16.329999999999998</v>
      </c>
      <c r="M11" s="109">
        <f>I11+L11</f>
        <v>49.33</v>
      </c>
      <c r="N11" s="353">
        <v>15</v>
      </c>
      <c r="O11" s="353">
        <v>54.97</v>
      </c>
      <c r="P11" s="183">
        <f t="shared" si="2"/>
        <v>0.89739858104420589</v>
      </c>
      <c r="Q11" s="353">
        <v>36</v>
      </c>
      <c r="R11" s="353">
        <v>0</v>
      </c>
      <c r="S11" s="112">
        <v>1141474</v>
      </c>
      <c r="T11" s="110">
        <f t="shared" si="6"/>
        <v>1141475</v>
      </c>
      <c r="U11" s="112">
        <v>1141475</v>
      </c>
      <c r="V11" s="112">
        <v>0</v>
      </c>
      <c r="W11" s="185">
        <f t="shared" si="3"/>
        <v>0</v>
      </c>
    </row>
    <row r="12" spans="1:220" s="71" customFormat="1">
      <c r="A12" s="90">
        <v>2012</v>
      </c>
      <c r="B12" s="353">
        <v>6.5</v>
      </c>
      <c r="C12" s="353">
        <v>0.5</v>
      </c>
      <c r="D12" s="108">
        <f>B12+C12</f>
        <v>7</v>
      </c>
      <c r="E12" s="109">
        <f t="shared" si="4"/>
        <v>8</v>
      </c>
      <c r="F12" s="109">
        <f t="shared" si="5"/>
        <v>7</v>
      </c>
      <c r="G12" s="113"/>
      <c r="H12" s="113"/>
      <c r="I12" s="353">
        <v>31</v>
      </c>
      <c r="J12" s="353">
        <v>36</v>
      </c>
      <c r="K12" s="108">
        <f>I12+J12</f>
        <v>67</v>
      </c>
      <c r="L12" s="353">
        <v>14.67</v>
      </c>
      <c r="M12" s="109">
        <f>I12+L12</f>
        <v>45.67</v>
      </c>
      <c r="N12" s="353">
        <v>13</v>
      </c>
      <c r="O12" s="353">
        <v>51</v>
      </c>
      <c r="P12" s="183">
        <f t="shared" si="2"/>
        <v>0.89549019607843139</v>
      </c>
      <c r="Q12" s="353">
        <v>20</v>
      </c>
      <c r="R12" s="353">
        <v>2</v>
      </c>
      <c r="S12" s="112">
        <v>996867.25000000012</v>
      </c>
      <c r="T12" s="110">
        <f t="shared" si="6"/>
        <v>1003432.25</v>
      </c>
      <c r="U12" s="112">
        <v>996867.25</v>
      </c>
      <c r="V12" s="112">
        <v>6565</v>
      </c>
      <c r="W12" s="185">
        <f t="shared" si="3"/>
        <v>6.5425443521473425E-3</v>
      </c>
    </row>
    <row r="13" spans="1:220" s="71" customFormat="1">
      <c r="A13" s="90">
        <v>2011</v>
      </c>
      <c r="B13" s="353">
        <v>5.5</v>
      </c>
      <c r="C13" s="353">
        <v>1.67</v>
      </c>
      <c r="D13" s="108">
        <f t="shared" ref="D13:D22" si="7">SUM(B13:C13)</f>
        <v>7.17</v>
      </c>
      <c r="E13" s="109">
        <f t="shared" si="4"/>
        <v>9</v>
      </c>
      <c r="F13" s="109">
        <f t="shared" si="5"/>
        <v>7</v>
      </c>
      <c r="G13" s="113"/>
      <c r="H13" s="113"/>
      <c r="I13" s="353">
        <v>24</v>
      </c>
      <c r="J13" s="353">
        <v>51</v>
      </c>
      <c r="K13" s="108">
        <f t="shared" ref="K13:K22" si="8">SUM(I13:J13)</f>
        <v>75</v>
      </c>
      <c r="L13" s="353">
        <v>23.67</v>
      </c>
      <c r="M13" s="109">
        <f t="shared" ref="M13:M22" si="9">(I13+L13)</f>
        <v>47.67</v>
      </c>
      <c r="N13" s="353">
        <v>20</v>
      </c>
      <c r="O13" s="353">
        <v>51.34</v>
      </c>
      <c r="P13" s="183">
        <f t="shared" si="2"/>
        <v>0.9285157771717959</v>
      </c>
      <c r="Q13" s="353">
        <v>84</v>
      </c>
      <c r="R13" s="353">
        <v>1</v>
      </c>
      <c r="S13" s="112">
        <v>1039211.4099999999</v>
      </c>
      <c r="T13" s="110">
        <f t="shared" si="6"/>
        <v>1279778</v>
      </c>
      <c r="U13" s="112">
        <v>1039121</v>
      </c>
      <c r="V13" s="112">
        <v>240657</v>
      </c>
      <c r="W13" s="185">
        <f t="shared" si="3"/>
        <v>0.18804589545999384</v>
      </c>
    </row>
    <row r="14" spans="1:220" s="71" customFormat="1">
      <c r="A14" s="90">
        <v>2010</v>
      </c>
      <c r="B14" s="353">
        <v>5</v>
      </c>
      <c r="C14" s="353">
        <v>2.66</v>
      </c>
      <c r="D14" s="108">
        <f t="shared" si="7"/>
        <v>7.66</v>
      </c>
      <c r="E14" s="109">
        <f t="shared" si="4"/>
        <v>18</v>
      </c>
      <c r="F14" s="109">
        <f t="shared" si="5"/>
        <v>12</v>
      </c>
      <c r="G14" s="113"/>
      <c r="H14" s="113"/>
      <c r="I14" s="353">
        <v>36</v>
      </c>
      <c r="J14" s="353">
        <v>97</v>
      </c>
      <c r="K14" s="108">
        <f t="shared" si="8"/>
        <v>133</v>
      </c>
      <c r="L14" s="353">
        <v>50.22</v>
      </c>
      <c r="M14" s="109">
        <f t="shared" si="9"/>
        <v>86.22</v>
      </c>
      <c r="N14" s="353">
        <v>32</v>
      </c>
      <c r="O14" s="353">
        <v>91.21</v>
      </c>
      <c r="P14" s="183">
        <f t="shared" si="2"/>
        <v>0.94529108650367288</v>
      </c>
      <c r="Q14" s="352">
        <v>70</v>
      </c>
      <c r="R14" s="353">
        <v>0</v>
      </c>
      <c r="S14" s="112">
        <v>1356311.31</v>
      </c>
      <c r="T14" s="110">
        <f t="shared" si="6"/>
        <v>2672311</v>
      </c>
      <c r="U14" s="112">
        <v>1356311</v>
      </c>
      <c r="V14" s="112">
        <v>1316000</v>
      </c>
      <c r="W14" s="185">
        <f t="shared" si="3"/>
        <v>0.49245765182271073</v>
      </c>
    </row>
    <row r="15" spans="1:220" s="71" customFormat="1">
      <c r="A15" s="90">
        <v>2009</v>
      </c>
      <c r="B15" s="353">
        <v>7</v>
      </c>
      <c r="C15" s="353">
        <v>3.67</v>
      </c>
      <c r="D15" s="108">
        <f t="shared" si="7"/>
        <v>10.67</v>
      </c>
      <c r="E15" s="109">
        <f t="shared" si="4"/>
        <v>19</v>
      </c>
      <c r="F15" s="109">
        <f t="shared" si="5"/>
        <v>13</v>
      </c>
      <c r="G15" s="113"/>
      <c r="H15" s="113"/>
      <c r="I15" s="353">
        <v>39</v>
      </c>
      <c r="J15" s="353">
        <v>145</v>
      </c>
      <c r="K15" s="108">
        <f t="shared" si="8"/>
        <v>184</v>
      </c>
      <c r="L15" s="353">
        <v>87.33</v>
      </c>
      <c r="M15" s="109">
        <f t="shared" si="9"/>
        <v>126.33</v>
      </c>
      <c r="N15" s="353">
        <v>38</v>
      </c>
      <c r="O15" s="353">
        <v>133.99</v>
      </c>
      <c r="P15" s="183">
        <f t="shared" si="2"/>
        <v>0.94283155459362633</v>
      </c>
      <c r="Q15" s="353">
        <v>26</v>
      </c>
      <c r="R15" s="353">
        <v>0</v>
      </c>
      <c r="S15" s="112">
        <v>1394147</v>
      </c>
      <c r="T15" s="110">
        <f t="shared" si="6"/>
        <v>2183512</v>
      </c>
      <c r="U15" s="112">
        <v>1394147</v>
      </c>
      <c r="V15" s="112">
        <v>789365</v>
      </c>
      <c r="W15" s="185">
        <f t="shared" si="3"/>
        <v>0.36151163813159715</v>
      </c>
    </row>
    <row r="16" spans="1:220" s="71" customFormat="1">
      <c r="A16" s="90">
        <v>2008</v>
      </c>
      <c r="B16" s="353">
        <v>7</v>
      </c>
      <c r="C16" s="353">
        <v>2.67</v>
      </c>
      <c r="D16" s="108">
        <f t="shared" si="7"/>
        <v>9.67</v>
      </c>
      <c r="E16" s="109">
        <f t="shared" si="4"/>
        <v>11</v>
      </c>
      <c r="F16" s="109">
        <f t="shared" si="5"/>
        <v>8</v>
      </c>
      <c r="G16" s="113"/>
      <c r="H16" s="113"/>
      <c r="I16" s="353">
        <v>6</v>
      </c>
      <c r="J16" s="353">
        <v>137</v>
      </c>
      <c r="K16" s="108">
        <f t="shared" si="8"/>
        <v>143</v>
      </c>
      <c r="L16" s="353">
        <v>67.75</v>
      </c>
      <c r="M16" s="109">
        <f t="shared" si="9"/>
        <v>73.75</v>
      </c>
      <c r="N16" s="353">
        <v>20</v>
      </c>
      <c r="O16" s="353">
        <v>74</v>
      </c>
      <c r="P16" s="183">
        <f t="shared" si="2"/>
        <v>0.9966216216216216</v>
      </c>
      <c r="Q16" s="353">
        <v>28</v>
      </c>
      <c r="R16" s="353">
        <v>0</v>
      </c>
      <c r="S16" s="112">
        <v>1279221</v>
      </c>
      <c r="T16" s="110">
        <f t="shared" si="6"/>
        <v>1614921</v>
      </c>
      <c r="U16" s="112">
        <v>1279221</v>
      </c>
      <c r="V16" s="112">
        <v>335700</v>
      </c>
      <c r="W16" s="185">
        <f t="shared" si="3"/>
        <v>0.20787394553665473</v>
      </c>
    </row>
    <row r="17" spans="1:23" s="71" customFormat="1">
      <c r="A17" s="90">
        <v>2007</v>
      </c>
      <c r="B17" s="353">
        <v>7</v>
      </c>
      <c r="C17" s="353">
        <v>2</v>
      </c>
      <c r="D17" s="109">
        <f t="shared" si="7"/>
        <v>9</v>
      </c>
      <c r="E17" s="109">
        <f t="shared" si="4"/>
        <v>7</v>
      </c>
      <c r="F17" s="109">
        <f t="shared" si="5"/>
        <v>5</v>
      </c>
      <c r="G17" s="113"/>
      <c r="H17" s="113"/>
      <c r="I17" s="353">
        <v>13</v>
      </c>
      <c r="J17" s="353">
        <v>91</v>
      </c>
      <c r="K17" s="194">
        <f t="shared" si="8"/>
        <v>104</v>
      </c>
      <c r="L17" s="353">
        <v>35.5</v>
      </c>
      <c r="M17" s="109">
        <f t="shared" si="9"/>
        <v>48.5</v>
      </c>
      <c r="N17" s="353">
        <v>11</v>
      </c>
      <c r="O17" s="353">
        <v>49</v>
      </c>
      <c r="P17" s="183">
        <f t="shared" si="2"/>
        <v>0.98979591836734693</v>
      </c>
      <c r="Q17" s="353">
        <v>28</v>
      </c>
      <c r="R17" s="353">
        <v>0</v>
      </c>
      <c r="S17" s="250">
        <v>1070098</v>
      </c>
      <c r="T17" s="110">
        <f t="shared" si="6"/>
        <v>910792</v>
      </c>
      <c r="U17" s="250">
        <v>910792</v>
      </c>
      <c r="V17" s="250">
        <v>0</v>
      </c>
      <c r="W17" s="185">
        <f t="shared" si="3"/>
        <v>0</v>
      </c>
    </row>
    <row r="18" spans="1:23" s="71" customFormat="1">
      <c r="A18" s="90">
        <v>2006</v>
      </c>
      <c r="B18" s="353">
        <v>6</v>
      </c>
      <c r="C18" s="353">
        <v>2</v>
      </c>
      <c r="D18" s="109">
        <f t="shared" si="7"/>
        <v>8</v>
      </c>
      <c r="E18" s="109">
        <f t="shared" si="4"/>
        <v>7</v>
      </c>
      <c r="F18" s="109">
        <f t="shared" si="5"/>
        <v>5</v>
      </c>
      <c r="G18" s="113"/>
      <c r="H18" s="113"/>
      <c r="I18" s="353">
        <v>7</v>
      </c>
      <c r="J18" s="353">
        <v>83</v>
      </c>
      <c r="K18" s="194">
        <f t="shared" si="8"/>
        <v>90</v>
      </c>
      <c r="L18" s="353">
        <v>34</v>
      </c>
      <c r="M18" s="109">
        <f t="shared" si="9"/>
        <v>41</v>
      </c>
      <c r="N18" s="353">
        <v>13</v>
      </c>
      <c r="O18" s="353">
        <v>42</v>
      </c>
      <c r="P18" s="183">
        <f t="shared" si="2"/>
        <v>0.97619047619047616</v>
      </c>
      <c r="Q18" s="353">
        <v>21</v>
      </c>
      <c r="R18" s="353">
        <v>0</v>
      </c>
      <c r="S18" s="192">
        <v>784400</v>
      </c>
      <c r="T18" s="110">
        <f t="shared" si="6"/>
        <v>808005</v>
      </c>
      <c r="U18" s="192">
        <v>808005</v>
      </c>
      <c r="V18" s="192">
        <v>0</v>
      </c>
      <c r="W18" s="185">
        <f t="shared" si="3"/>
        <v>0</v>
      </c>
    </row>
    <row r="19" spans="1:23" s="71" customFormat="1">
      <c r="A19" s="90">
        <v>2005</v>
      </c>
      <c r="B19" s="353">
        <v>5</v>
      </c>
      <c r="C19" s="353">
        <v>2</v>
      </c>
      <c r="D19" s="109">
        <f t="shared" si="7"/>
        <v>7</v>
      </c>
      <c r="E19" s="109">
        <f t="shared" si="4"/>
        <v>10</v>
      </c>
      <c r="F19" s="109">
        <f t="shared" si="5"/>
        <v>7</v>
      </c>
      <c r="G19" s="113"/>
      <c r="H19" s="113"/>
      <c r="I19" s="353">
        <v>17</v>
      </c>
      <c r="J19" s="353">
        <v>73</v>
      </c>
      <c r="K19" s="194">
        <f t="shared" si="8"/>
        <v>90</v>
      </c>
      <c r="L19" s="353">
        <v>31</v>
      </c>
      <c r="M19" s="109">
        <f t="shared" si="9"/>
        <v>48</v>
      </c>
      <c r="N19" s="353">
        <v>10</v>
      </c>
      <c r="O19" s="353">
        <v>48</v>
      </c>
      <c r="P19" s="183">
        <f t="shared" si="2"/>
        <v>1</v>
      </c>
      <c r="Q19" s="353">
        <v>40</v>
      </c>
      <c r="R19" s="353">
        <v>0</v>
      </c>
      <c r="S19" s="192">
        <v>850327</v>
      </c>
      <c r="T19" s="110">
        <f t="shared" si="6"/>
        <v>850366</v>
      </c>
      <c r="U19" s="192">
        <v>850366</v>
      </c>
      <c r="V19" s="192">
        <v>0</v>
      </c>
      <c r="W19" s="185">
        <f t="shared" si="3"/>
        <v>0</v>
      </c>
    </row>
    <row r="20" spans="1:23" s="71" customFormat="1">
      <c r="A20" s="90">
        <v>2004</v>
      </c>
      <c r="B20" s="195">
        <v>5</v>
      </c>
      <c r="C20" s="195">
        <v>3</v>
      </c>
      <c r="D20" s="109">
        <f t="shared" si="7"/>
        <v>8</v>
      </c>
      <c r="E20" s="109">
        <f t="shared" si="4"/>
        <v>10</v>
      </c>
      <c r="F20" s="109">
        <f t="shared" si="5"/>
        <v>6</v>
      </c>
      <c r="G20" s="113"/>
      <c r="H20" s="113"/>
      <c r="I20" s="195">
        <v>19</v>
      </c>
      <c r="J20" s="195">
        <v>74</v>
      </c>
      <c r="K20" s="194">
        <f t="shared" si="8"/>
        <v>93</v>
      </c>
      <c r="L20" s="195">
        <v>31</v>
      </c>
      <c r="M20" s="109">
        <f t="shared" si="9"/>
        <v>50</v>
      </c>
      <c r="N20" s="195">
        <v>15</v>
      </c>
      <c r="O20" s="195">
        <v>51</v>
      </c>
      <c r="P20" s="183">
        <f t="shared" si="2"/>
        <v>0.98039215686274506</v>
      </c>
      <c r="Q20" s="195">
        <v>46</v>
      </c>
      <c r="R20" s="353">
        <v>1</v>
      </c>
      <c r="S20" s="192">
        <v>824810</v>
      </c>
      <c r="T20" s="110">
        <f t="shared" si="6"/>
        <v>824818</v>
      </c>
      <c r="U20" s="192">
        <v>824818</v>
      </c>
      <c r="V20" s="192">
        <v>0</v>
      </c>
      <c r="W20" s="185">
        <f t="shared" si="3"/>
        <v>0</v>
      </c>
    </row>
    <row r="21" spans="1:23" s="71" customFormat="1">
      <c r="A21" s="90">
        <v>2003</v>
      </c>
      <c r="B21" s="195">
        <v>5</v>
      </c>
      <c r="C21" s="195">
        <f>ROUND(2.44, 0)</f>
        <v>2</v>
      </c>
      <c r="D21" s="194">
        <f t="shared" si="7"/>
        <v>7</v>
      </c>
      <c r="E21" s="109">
        <f t="shared" si="4"/>
        <v>12</v>
      </c>
      <c r="F21" s="109">
        <f t="shared" si="5"/>
        <v>8</v>
      </c>
      <c r="G21" s="113"/>
      <c r="H21" s="113"/>
      <c r="I21" s="195">
        <v>20</v>
      </c>
      <c r="J21" s="195">
        <v>96</v>
      </c>
      <c r="K21" s="194">
        <f t="shared" si="8"/>
        <v>116</v>
      </c>
      <c r="L21" s="195">
        <v>38</v>
      </c>
      <c r="M21" s="109">
        <f t="shared" si="9"/>
        <v>58</v>
      </c>
      <c r="N21" s="195">
        <v>17</v>
      </c>
      <c r="O21" s="195">
        <v>58</v>
      </c>
      <c r="P21" s="183">
        <f t="shared" si="2"/>
        <v>1</v>
      </c>
      <c r="Q21" s="195">
        <v>25</v>
      </c>
      <c r="R21" s="353">
        <v>0</v>
      </c>
      <c r="S21" s="192">
        <v>1063149</v>
      </c>
      <c r="T21" s="110">
        <f t="shared" si="6"/>
        <v>1063149</v>
      </c>
      <c r="U21" s="192">
        <v>929558</v>
      </c>
      <c r="V21" s="192">
        <v>133591</v>
      </c>
      <c r="W21" s="185">
        <f t="shared" si="3"/>
        <v>0.12565595227009574</v>
      </c>
    </row>
    <row r="22" spans="1:23" s="71" customFormat="1" ht="12.75" customHeight="1">
      <c r="A22" s="90">
        <v>2002</v>
      </c>
      <c r="B22" s="195">
        <v>5</v>
      </c>
      <c r="C22" s="195">
        <v>2</v>
      </c>
      <c r="D22" s="194">
        <f t="shared" si="7"/>
        <v>7</v>
      </c>
      <c r="E22" s="109">
        <f t="shared" si="4"/>
        <v>12</v>
      </c>
      <c r="F22" s="109">
        <f t="shared" si="5"/>
        <v>8</v>
      </c>
      <c r="G22" s="113"/>
      <c r="H22" s="113"/>
      <c r="I22" s="195">
        <v>30</v>
      </c>
      <c r="J22" s="195">
        <v>75</v>
      </c>
      <c r="K22" s="194">
        <f t="shared" si="8"/>
        <v>105</v>
      </c>
      <c r="L22" s="195">
        <f>ROUND(28.25, 0)</f>
        <v>28</v>
      </c>
      <c r="M22" s="109">
        <f t="shared" si="9"/>
        <v>58</v>
      </c>
      <c r="N22" s="195">
        <v>14</v>
      </c>
      <c r="O22" s="195">
        <v>59</v>
      </c>
      <c r="P22" s="183">
        <f t="shared" si="2"/>
        <v>0.98305084745762716</v>
      </c>
      <c r="Q22" s="195">
        <v>26</v>
      </c>
      <c r="R22" s="353">
        <v>2</v>
      </c>
      <c r="S22" s="192">
        <v>918590</v>
      </c>
      <c r="T22" s="110">
        <f t="shared" si="6"/>
        <v>919834</v>
      </c>
      <c r="U22" s="192">
        <v>801820</v>
      </c>
      <c r="V22" s="192">
        <v>118014</v>
      </c>
      <c r="W22" s="185">
        <f t="shared" si="3"/>
        <v>0.12829923660138678</v>
      </c>
    </row>
    <row r="23" spans="1:23" s="14" customFormat="1">
      <c r="G23"/>
      <c r="H23"/>
    </row>
    <row r="24" spans="1:23" s="14" customFormat="1">
      <c r="G24"/>
      <c r="H24"/>
    </row>
    <row r="25" spans="1:23" s="14" customFormat="1">
      <c r="G25"/>
      <c r="H25"/>
    </row>
    <row r="26" spans="1:23" s="14" customFormat="1">
      <c r="G26"/>
      <c r="H26"/>
    </row>
    <row r="27" spans="1:23" s="14" customFormat="1">
      <c r="G27"/>
      <c r="H27"/>
    </row>
    <row r="28" spans="1:23" s="14" customFormat="1">
      <c r="G28"/>
      <c r="H28"/>
    </row>
    <row r="29" spans="1:23" s="14" customFormat="1">
      <c r="G29"/>
      <c r="H29"/>
    </row>
    <row r="30" spans="1:23" s="14" customFormat="1">
      <c r="G30"/>
      <c r="H30"/>
    </row>
    <row r="31" spans="1:23" s="14" customFormat="1">
      <c r="G31"/>
      <c r="H31"/>
    </row>
    <row r="32" spans="1:23" s="14" customFormat="1">
      <c r="G32"/>
      <c r="H32"/>
    </row>
  </sheetData>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L32"/>
  <sheetViews>
    <sheetView workbookViewId="0">
      <selection activeCell="G32" sqref="G32"/>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2.42578125" bestFit="1" customWidth="1"/>
    <col min="20" max="20" width="12.85546875" bestFit="1" customWidth="1"/>
    <col min="21" max="22" width="11.42578125" bestFit="1" customWidth="1"/>
    <col min="23" max="23" width="12.85546875" bestFit="1" customWidth="1"/>
  </cols>
  <sheetData>
    <row r="1" spans="1:220" s="8" customFormat="1" ht="18.75">
      <c r="A1" s="1" t="s">
        <v>54</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11">
        <v>2021</v>
      </c>
      <c r="B3" s="409">
        <v>40</v>
      </c>
      <c r="C3" s="409">
        <v>36</v>
      </c>
      <c r="D3" s="410">
        <f>SUM(B3:C3)</f>
        <v>76</v>
      </c>
      <c r="E3" s="411">
        <f t="shared" ref="E3" si="0">ROUND((O3/B3), 0)</f>
        <v>40</v>
      </c>
      <c r="F3" s="411">
        <f t="shared" ref="F3" si="1">ROUND((O3/D3), 0)</f>
        <v>21</v>
      </c>
      <c r="G3" s="409">
        <v>6</v>
      </c>
      <c r="H3" s="409">
        <v>7</v>
      </c>
      <c r="I3" s="409">
        <v>49</v>
      </c>
      <c r="J3" s="409">
        <v>287</v>
      </c>
      <c r="K3" s="410">
        <f t="shared" ref="K3" si="2">SUM(I3:J3)</f>
        <v>336</v>
      </c>
      <c r="L3" s="409">
        <v>103</v>
      </c>
      <c r="M3" s="411">
        <f t="shared" ref="M3" si="3">(I3+L3)</f>
        <v>152</v>
      </c>
      <c r="N3" s="409">
        <v>94</v>
      </c>
      <c r="O3" s="501">
        <v>1609</v>
      </c>
      <c r="P3" s="413">
        <f t="shared" ref="P3" si="4">M3/O3</f>
        <v>9.44686140459913E-2</v>
      </c>
      <c r="Q3" s="409">
        <v>124</v>
      </c>
      <c r="R3" s="409">
        <v>743</v>
      </c>
      <c r="S3" s="414">
        <v>59170730.460000001</v>
      </c>
      <c r="T3" s="415">
        <f t="shared" ref="T3" si="5">SUM(U3:V3)</f>
        <v>59072410.75</v>
      </c>
      <c r="U3" s="414">
        <v>57800462.280000001</v>
      </c>
      <c r="V3" s="414">
        <v>1271948.47</v>
      </c>
      <c r="W3" s="335">
        <f t="shared" ref="W3" si="6">V3/T3</f>
        <v>2.1532022374759777E-2</v>
      </c>
    </row>
    <row r="4" spans="1:220">
      <c r="A4" s="11">
        <v>2020</v>
      </c>
      <c r="B4" s="409">
        <v>41</v>
      </c>
      <c r="C4" s="409">
        <v>38</v>
      </c>
      <c r="D4" s="410">
        <f>SUM(B4:C4)</f>
        <v>79</v>
      </c>
      <c r="E4" s="411">
        <f>ROUND((O4/B4), 0)</f>
        <v>42</v>
      </c>
      <c r="F4" s="411">
        <f>ROUND((O4/D4), 0)</f>
        <v>22</v>
      </c>
      <c r="G4" s="409">
        <v>9</v>
      </c>
      <c r="H4" s="409">
        <v>7</v>
      </c>
      <c r="I4" s="409">
        <v>45</v>
      </c>
      <c r="J4" s="409">
        <v>308</v>
      </c>
      <c r="K4" s="410">
        <f t="shared" ref="K4" si="7">SUM(I4:J4)</f>
        <v>353</v>
      </c>
      <c r="L4" s="409">
        <v>135</v>
      </c>
      <c r="M4" s="411">
        <f t="shared" ref="M4" si="8">(I4+L4)</f>
        <v>180</v>
      </c>
      <c r="N4" s="409">
        <v>82</v>
      </c>
      <c r="O4" s="501">
        <v>1704</v>
      </c>
      <c r="P4" s="413">
        <f t="shared" ref="P4" si="9">M4/O4</f>
        <v>0.10563380281690141</v>
      </c>
      <c r="Q4" s="409">
        <v>136</v>
      </c>
      <c r="R4" s="409">
        <v>753</v>
      </c>
      <c r="S4" s="414">
        <v>63978730</v>
      </c>
      <c r="T4" s="415">
        <f>SUM(U4:V4)</f>
        <v>60938210.909999996</v>
      </c>
      <c r="U4" s="414">
        <v>59713799</v>
      </c>
      <c r="V4" s="414">
        <v>1224411.9099999999</v>
      </c>
      <c r="W4" s="335">
        <f t="shared" ref="W4" si="10">V4/T4</f>
        <v>2.0092678989351052E-2</v>
      </c>
    </row>
    <row r="5" spans="1:220">
      <c r="A5" s="11">
        <v>2019</v>
      </c>
      <c r="B5" s="409">
        <v>42</v>
      </c>
      <c r="C5" s="409">
        <v>38</v>
      </c>
      <c r="D5" s="410">
        <f>SUM(B5:C5)</f>
        <v>80</v>
      </c>
      <c r="E5" s="411">
        <f>ROUND((O5/B5), 0)</f>
        <v>33</v>
      </c>
      <c r="F5" s="411">
        <f>ROUND((O5/D5), 0)</f>
        <v>17</v>
      </c>
      <c r="G5" s="409">
        <v>9</v>
      </c>
      <c r="H5" s="409">
        <v>7</v>
      </c>
      <c r="I5" s="409">
        <v>54</v>
      </c>
      <c r="J5" s="409">
        <v>217</v>
      </c>
      <c r="K5" s="410">
        <f>SUM(I5:J5)</f>
        <v>271</v>
      </c>
      <c r="L5" s="409">
        <v>108</v>
      </c>
      <c r="M5" s="411">
        <f>(I5+L5)</f>
        <v>162</v>
      </c>
      <c r="N5" s="409">
        <v>82</v>
      </c>
      <c r="O5" s="501">
        <v>1388</v>
      </c>
      <c r="P5" s="413">
        <f>M5/O5</f>
        <v>0.11671469740634005</v>
      </c>
      <c r="Q5" s="409">
        <v>132</v>
      </c>
      <c r="R5" s="409">
        <v>488</v>
      </c>
      <c r="S5" s="414">
        <v>60057564</v>
      </c>
      <c r="T5" s="415">
        <f>SUM(U5:V5)</f>
        <v>60989328</v>
      </c>
      <c r="U5" s="414">
        <v>57171623</v>
      </c>
      <c r="V5" s="414">
        <v>3817705</v>
      </c>
      <c r="W5" s="335">
        <f>V5/T5</f>
        <v>6.2596279139196284E-2</v>
      </c>
    </row>
    <row r="6" spans="1:220" s="17" customFormat="1">
      <c r="A6" s="33">
        <v>2018</v>
      </c>
      <c r="B6" s="20">
        <v>43</v>
      </c>
      <c r="C6" s="20">
        <v>38</v>
      </c>
      <c r="D6" s="29">
        <f>SUM(B6:C6)</f>
        <v>81</v>
      </c>
      <c r="E6" s="172">
        <f>ROUND((O6/B6), 0)</f>
        <v>32</v>
      </c>
      <c r="F6" s="172">
        <f>ROUND((O6/D6), 0)</f>
        <v>17</v>
      </c>
      <c r="G6" s="20">
        <v>7</v>
      </c>
      <c r="H6" s="20">
        <v>9</v>
      </c>
      <c r="I6" s="20">
        <v>58</v>
      </c>
      <c r="J6" s="20">
        <v>251</v>
      </c>
      <c r="K6" s="29">
        <f t="shared" ref="K6" si="11">SUM(I6:J6)</f>
        <v>309</v>
      </c>
      <c r="L6" s="20">
        <v>116</v>
      </c>
      <c r="M6" s="172">
        <f>(I6+L6)</f>
        <v>174</v>
      </c>
      <c r="N6" s="20">
        <v>72</v>
      </c>
      <c r="O6" s="20">
        <v>1382</v>
      </c>
      <c r="P6" s="183">
        <f>M6/O6</f>
        <v>0.12590448625180897</v>
      </c>
      <c r="Q6" s="20">
        <v>51</v>
      </c>
      <c r="R6" s="20">
        <v>756</v>
      </c>
      <c r="S6" s="24">
        <v>51595609</v>
      </c>
      <c r="T6" s="30">
        <f>SUM(U6:V6)</f>
        <v>53180657</v>
      </c>
      <c r="U6" s="24">
        <v>47698686</v>
      </c>
      <c r="V6" s="24">
        <v>5481971</v>
      </c>
      <c r="W6" s="185">
        <f>V6/T6</f>
        <v>0.10308204729400015</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44</v>
      </c>
      <c r="C7" s="20">
        <v>17</v>
      </c>
      <c r="D7" s="34">
        <f>SUM(B7:C7)</f>
        <v>61</v>
      </c>
      <c r="E7" s="34">
        <f>ROUND((O7/B7), 0)</f>
        <v>28</v>
      </c>
      <c r="F7" s="34">
        <f>ROUND((O7/D7), 0)</f>
        <v>20</v>
      </c>
      <c r="G7" s="20">
        <v>9</v>
      </c>
      <c r="H7" s="20">
        <v>4</v>
      </c>
      <c r="I7" s="20">
        <v>46</v>
      </c>
      <c r="J7" s="20">
        <v>184</v>
      </c>
      <c r="K7" s="34">
        <f>SUM(I7:J7)</f>
        <v>230</v>
      </c>
      <c r="L7" s="20">
        <v>66</v>
      </c>
      <c r="M7" s="36">
        <f>(I7+L7)</f>
        <v>112</v>
      </c>
      <c r="N7" s="344">
        <v>46</v>
      </c>
      <c r="O7" s="344">
        <v>1242</v>
      </c>
      <c r="P7" s="183">
        <f t="shared" ref="P7:P22" si="12">M7/O7</f>
        <v>9.0177133655394523E-2</v>
      </c>
      <c r="Q7" s="20">
        <v>67</v>
      </c>
      <c r="R7" s="20">
        <v>513</v>
      </c>
      <c r="S7" s="300">
        <v>44501317</v>
      </c>
      <c r="T7" s="35">
        <f>SUM(U7:V7)</f>
        <v>44912278</v>
      </c>
      <c r="U7" s="341">
        <v>41075950</v>
      </c>
      <c r="V7" s="24">
        <v>3836328</v>
      </c>
      <c r="W7" s="185">
        <f t="shared" ref="W7:W22" si="13">V7/T7</f>
        <v>8.5418245763441342E-2</v>
      </c>
    </row>
    <row r="8" spans="1:220" s="65" customFormat="1">
      <c r="A8" s="95">
        <v>2016</v>
      </c>
      <c r="B8" s="63">
        <v>47</v>
      </c>
      <c r="C8" s="63">
        <v>10</v>
      </c>
      <c r="D8" s="108">
        <f>B8+C8</f>
        <v>57</v>
      </c>
      <c r="E8" s="109">
        <f>ROUND((O8/B8), 0)</f>
        <v>26</v>
      </c>
      <c r="F8" s="109">
        <f>ROUND((O8/D8), 0)</f>
        <v>21</v>
      </c>
      <c r="G8" s="83">
        <v>8</v>
      </c>
      <c r="H8" s="83">
        <v>5</v>
      </c>
      <c r="I8" s="63">
        <v>54</v>
      </c>
      <c r="J8" s="63">
        <v>76</v>
      </c>
      <c r="K8" s="108">
        <f>I8+J8</f>
        <v>130</v>
      </c>
      <c r="L8" s="63">
        <v>36</v>
      </c>
      <c r="M8" s="109">
        <f>I8+L8</f>
        <v>90</v>
      </c>
      <c r="N8" s="63">
        <v>19</v>
      </c>
      <c r="O8" s="63">
        <v>1224</v>
      </c>
      <c r="P8" s="183">
        <f t="shared" si="12"/>
        <v>7.3529411764705885E-2</v>
      </c>
      <c r="Q8" s="63">
        <v>71</v>
      </c>
      <c r="R8" s="63">
        <v>418</v>
      </c>
      <c r="S8" s="64">
        <v>41316230</v>
      </c>
      <c r="T8" s="280">
        <f>SUM(U8:V8)</f>
        <v>41711226</v>
      </c>
      <c r="U8" s="64">
        <v>38895367</v>
      </c>
      <c r="V8" s="64">
        <v>2815859</v>
      </c>
      <c r="W8" s="185">
        <f t="shared" si="13"/>
        <v>6.7508420874514696E-2</v>
      </c>
    </row>
    <row r="9" spans="1:220" s="89" customFormat="1">
      <c r="A9" s="95">
        <v>2015</v>
      </c>
      <c r="B9" s="361">
        <v>45</v>
      </c>
      <c r="C9" s="361">
        <v>9</v>
      </c>
      <c r="D9" s="158">
        <v>54</v>
      </c>
      <c r="E9" s="203">
        <f>+O9/B9</f>
        <v>28.844444444444445</v>
      </c>
      <c r="F9" s="203">
        <f>+O9/D9</f>
        <v>24.037037037037038</v>
      </c>
      <c r="G9" s="111"/>
      <c r="H9" s="111"/>
      <c r="I9" s="161">
        <v>67</v>
      </c>
      <c r="J9" s="161">
        <v>99</v>
      </c>
      <c r="K9" s="158">
        <v>166</v>
      </c>
      <c r="L9" s="161">
        <v>47</v>
      </c>
      <c r="M9" s="158">
        <v>114</v>
      </c>
      <c r="N9" s="161">
        <v>26</v>
      </c>
      <c r="O9" s="307">
        <v>1298</v>
      </c>
      <c r="P9" s="183">
        <f t="shared" si="12"/>
        <v>8.7827426810477657E-2</v>
      </c>
      <c r="Q9" s="161">
        <v>65</v>
      </c>
      <c r="R9" s="161">
        <v>613</v>
      </c>
      <c r="S9" s="243">
        <v>41592781</v>
      </c>
      <c r="T9" s="241">
        <v>41427719</v>
      </c>
      <c r="U9" s="243">
        <v>37698851</v>
      </c>
      <c r="V9" s="243">
        <v>3728868</v>
      </c>
      <c r="W9" s="185">
        <f t="shared" si="13"/>
        <v>9.0009010633677417E-2</v>
      </c>
    </row>
    <row r="10" spans="1:220" s="89" customFormat="1">
      <c r="A10" s="95">
        <v>2014</v>
      </c>
      <c r="B10" s="361">
        <v>50</v>
      </c>
      <c r="C10" s="361">
        <v>9</v>
      </c>
      <c r="D10" s="158">
        <v>59</v>
      </c>
      <c r="E10" s="158">
        <v>25</v>
      </c>
      <c r="F10" s="158">
        <v>21</v>
      </c>
      <c r="G10" s="111"/>
      <c r="H10" s="111"/>
      <c r="I10" s="161">
        <v>72</v>
      </c>
      <c r="J10" s="161">
        <v>89</v>
      </c>
      <c r="K10" s="158">
        <v>161</v>
      </c>
      <c r="L10" s="161">
        <v>40</v>
      </c>
      <c r="M10" s="158">
        <v>112</v>
      </c>
      <c r="N10" s="161">
        <v>28</v>
      </c>
      <c r="O10" s="307">
        <v>1244</v>
      </c>
      <c r="P10" s="183">
        <f t="shared" si="12"/>
        <v>9.0032154340836015E-2</v>
      </c>
      <c r="Q10" s="161">
        <v>68</v>
      </c>
      <c r="R10" s="161">
        <v>545</v>
      </c>
      <c r="S10" s="243">
        <v>39029632</v>
      </c>
      <c r="T10" s="241">
        <v>38624711</v>
      </c>
      <c r="U10" s="243">
        <v>32148424</v>
      </c>
      <c r="V10" s="243">
        <v>6476087</v>
      </c>
      <c r="W10" s="185">
        <f t="shared" si="13"/>
        <v>0.16766693736556371</v>
      </c>
    </row>
    <row r="11" spans="1:220" s="71" customFormat="1">
      <c r="A11" s="90">
        <v>2013</v>
      </c>
      <c r="B11" s="361">
        <v>51</v>
      </c>
      <c r="C11" s="361">
        <v>9</v>
      </c>
      <c r="D11" s="108">
        <f>B11+C11</f>
        <v>60</v>
      </c>
      <c r="E11" s="109">
        <f t="shared" ref="E11:E22" si="14">ROUND((O11/B11), 0)</f>
        <v>22</v>
      </c>
      <c r="F11" s="109">
        <f t="shared" ref="F11:F22" si="15">ROUND((O11/D11), 0)</f>
        <v>19</v>
      </c>
      <c r="G11" s="113"/>
      <c r="H11" s="113"/>
      <c r="I11" s="361">
        <v>76</v>
      </c>
      <c r="J11" s="361">
        <v>79</v>
      </c>
      <c r="K11" s="108">
        <f>I11+J11</f>
        <v>155</v>
      </c>
      <c r="L11" s="361">
        <v>31</v>
      </c>
      <c r="M11" s="109">
        <f>I11+L11</f>
        <v>107</v>
      </c>
      <c r="N11" s="361">
        <v>10</v>
      </c>
      <c r="O11" s="308">
        <v>1116.5</v>
      </c>
      <c r="P11" s="183">
        <f t="shared" si="12"/>
        <v>9.5835199283475142E-2</v>
      </c>
      <c r="Q11" s="361">
        <v>81</v>
      </c>
      <c r="R11" s="361">
        <v>378</v>
      </c>
      <c r="S11" s="112">
        <v>38330069</v>
      </c>
      <c r="T11" s="280">
        <f t="shared" ref="T11:T22" si="16">SUM(U11:V11)</f>
        <v>37590415</v>
      </c>
      <c r="U11" s="279">
        <v>31114626</v>
      </c>
      <c r="V11" s="279">
        <v>6475789</v>
      </c>
      <c r="W11" s="185">
        <f t="shared" si="13"/>
        <v>0.17227234655430115</v>
      </c>
    </row>
    <row r="12" spans="1:220" s="71" customFormat="1">
      <c r="A12" s="90">
        <v>2012</v>
      </c>
      <c r="B12" s="361">
        <v>51</v>
      </c>
      <c r="C12" s="361">
        <v>14.25</v>
      </c>
      <c r="D12" s="108">
        <f>B12+C12</f>
        <v>65.25</v>
      </c>
      <c r="E12" s="109">
        <f t="shared" si="14"/>
        <v>23</v>
      </c>
      <c r="F12" s="109">
        <f t="shared" si="15"/>
        <v>18</v>
      </c>
      <c r="G12" s="113"/>
      <c r="H12" s="113"/>
      <c r="I12" s="361">
        <v>149</v>
      </c>
      <c r="J12" s="361">
        <v>149</v>
      </c>
      <c r="K12" s="108">
        <f>I12+J12</f>
        <v>298</v>
      </c>
      <c r="L12" s="361">
        <v>96</v>
      </c>
      <c r="M12" s="109">
        <f>I12+L12</f>
        <v>245</v>
      </c>
      <c r="N12" s="361">
        <v>11</v>
      </c>
      <c r="O12" s="308">
        <v>1161</v>
      </c>
      <c r="P12" s="183">
        <f t="shared" si="12"/>
        <v>0.21102497846683893</v>
      </c>
      <c r="Q12" s="361">
        <v>99</v>
      </c>
      <c r="R12" s="361">
        <v>474</v>
      </c>
      <c r="S12" s="112">
        <v>39000448</v>
      </c>
      <c r="T12" s="280">
        <f t="shared" si="16"/>
        <v>38675474</v>
      </c>
      <c r="U12" s="279">
        <v>31204990</v>
      </c>
      <c r="V12" s="279">
        <v>7470484</v>
      </c>
      <c r="W12" s="185">
        <f t="shared" si="13"/>
        <v>0.19315817564382015</v>
      </c>
    </row>
    <row r="13" spans="1:220" s="71" customFormat="1">
      <c r="A13" s="90" t="s">
        <v>81</v>
      </c>
      <c r="B13" s="361">
        <v>44</v>
      </c>
      <c r="C13" s="361">
        <v>12</v>
      </c>
      <c r="D13" s="108">
        <f t="shared" ref="D13:D22" si="17">SUM(B13:C13)</f>
        <v>56</v>
      </c>
      <c r="E13" s="109">
        <f t="shared" si="14"/>
        <v>25</v>
      </c>
      <c r="F13" s="109">
        <f t="shared" si="15"/>
        <v>19</v>
      </c>
      <c r="G13" s="113"/>
      <c r="H13" s="113"/>
      <c r="I13" s="361">
        <v>57</v>
      </c>
      <c r="J13" s="361">
        <v>74</v>
      </c>
      <c r="K13" s="108">
        <f t="shared" ref="K13:K22" si="18">SUM(I13:J13)</f>
        <v>131</v>
      </c>
      <c r="L13" s="361">
        <v>30</v>
      </c>
      <c r="M13" s="109">
        <f t="shared" ref="M13:M22" si="19">(I13+L13)</f>
        <v>87</v>
      </c>
      <c r="N13" s="361">
        <v>13</v>
      </c>
      <c r="O13" s="308">
        <v>1086</v>
      </c>
      <c r="P13" s="183">
        <f t="shared" si="12"/>
        <v>8.0110497237569064E-2</v>
      </c>
      <c r="Q13" s="361">
        <v>63</v>
      </c>
      <c r="R13" s="361">
        <v>369</v>
      </c>
      <c r="S13" s="112">
        <v>38400127</v>
      </c>
      <c r="T13" s="280">
        <f t="shared" si="16"/>
        <v>33772677</v>
      </c>
      <c r="U13" s="279">
        <v>29259992</v>
      </c>
      <c r="V13" s="279">
        <v>4512685</v>
      </c>
      <c r="W13" s="185">
        <f t="shared" si="13"/>
        <v>0.13361940482242493</v>
      </c>
    </row>
    <row r="14" spans="1:220" s="71" customFormat="1">
      <c r="A14" s="90" t="s">
        <v>82</v>
      </c>
      <c r="B14" s="361">
        <v>45</v>
      </c>
      <c r="C14" s="361">
        <v>12</v>
      </c>
      <c r="D14" s="108">
        <f t="shared" si="17"/>
        <v>57</v>
      </c>
      <c r="E14" s="109">
        <f t="shared" si="14"/>
        <v>24</v>
      </c>
      <c r="F14" s="109">
        <f t="shared" si="15"/>
        <v>19</v>
      </c>
      <c r="G14" s="113"/>
      <c r="H14" s="113"/>
      <c r="I14" s="361">
        <v>82</v>
      </c>
      <c r="J14" s="361">
        <v>99</v>
      </c>
      <c r="K14" s="108">
        <f t="shared" si="18"/>
        <v>181</v>
      </c>
      <c r="L14" s="361">
        <v>35</v>
      </c>
      <c r="M14" s="109">
        <f t="shared" si="19"/>
        <v>117</v>
      </c>
      <c r="N14" s="361">
        <v>15</v>
      </c>
      <c r="O14" s="308">
        <v>1072.5</v>
      </c>
      <c r="P14" s="183">
        <f t="shared" si="12"/>
        <v>0.10909090909090909</v>
      </c>
      <c r="Q14" s="361">
        <v>74</v>
      </c>
      <c r="R14" s="361">
        <v>263</v>
      </c>
      <c r="S14" s="112">
        <v>28937012.699999999</v>
      </c>
      <c r="T14" s="280">
        <f t="shared" si="16"/>
        <v>28856482</v>
      </c>
      <c r="U14" s="279">
        <v>25910980</v>
      </c>
      <c r="V14" s="279">
        <v>2945502</v>
      </c>
      <c r="W14" s="185">
        <f t="shared" si="13"/>
        <v>0.10207418908514211</v>
      </c>
    </row>
    <row r="15" spans="1:220" s="71" customFormat="1">
      <c r="A15" s="90" t="s">
        <v>83</v>
      </c>
      <c r="B15" s="361">
        <v>45</v>
      </c>
      <c r="C15" s="361">
        <v>12</v>
      </c>
      <c r="D15" s="108">
        <f t="shared" si="17"/>
        <v>57</v>
      </c>
      <c r="E15" s="109">
        <f t="shared" si="14"/>
        <v>23</v>
      </c>
      <c r="F15" s="109">
        <f t="shared" si="15"/>
        <v>19</v>
      </c>
      <c r="G15" s="113"/>
      <c r="H15" s="113"/>
      <c r="I15" s="361">
        <v>78</v>
      </c>
      <c r="J15" s="361">
        <v>115</v>
      </c>
      <c r="K15" s="108">
        <f t="shared" si="18"/>
        <v>193</v>
      </c>
      <c r="L15" s="361">
        <v>39.5</v>
      </c>
      <c r="M15" s="109">
        <f t="shared" si="19"/>
        <v>117.5</v>
      </c>
      <c r="N15" s="361">
        <v>17</v>
      </c>
      <c r="O15" s="308">
        <v>1054.5</v>
      </c>
      <c r="P15" s="183">
        <f t="shared" si="12"/>
        <v>0.11142721669037459</v>
      </c>
      <c r="Q15" s="361">
        <v>72</v>
      </c>
      <c r="R15" s="361">
        <v>269</v>
      </c>
      <c r="S15" s="112">
        <v>26538996</v>
      </c>
      <c r="T15" s="280">
        <f t="shared" si="16"/>
        <v>27261216</v>
      </c>
      <c r="U15" s="279">
        <v>23380170</v>
      </c>
      <c r="V15" s="279">
        <v>3881046</v>
      </c>
      <c r="W15" s="185">
        <f t="shared" si="13"/>
        <v>0.14236510946540315</v>
      </c>
    </row>
    <row r="16" spans="1:220" s="71" customFormat="1">
      <c r="A16" s="90" t="s">
        <v>84</v>
      </c>
      <c r="B16" s="361">
        <v>39</v>
      </c>
      <c r="C16" s="361">
        <v>12</v>
      </c>
      <c r="D16" s="108">
        <f t="shared" si="17"/>
        <v>51</v>
      </c>
      <c r="E16" s="109">
        <f t="shared" si="14"/>
        <v>30</v>
      </c>
      <c r="F16" s="109">
        <f t="shared" si="15"/>
        <v>23</v>
      </c>
      <c r="G16" s="113"/>
      <c r="H16" s="113"/>
      <c r="I16" s="361">
        <v>52</v>
      </c>
      <c r="J16" s="361">
        <v>97</v>
      </c>
      <c r="K16" s="108">
        <f t="shared" si="18"/>
        <v>149</v>
      </c>
      <c r="L16" s="361">
        <v>28</v>
      </c>
      <c r="M16" s="109">
        <f t="shared" si="19"/>
        <v>80</v>
      </c>
      <c r="N16" s="361">
        <v>33</v>
      </c>
      <c r="O16" s="308">
        <v>1155</v>
      </c>
      <c r="P16" s="183">
        <f t="shared" si="12"/>
        <v>6.9264069264069264E-2</v>
      </c>
      <c r="Q16" s="361">
        <v>67</v>
      </c>
      <c r="R16" s="361">
        <v>373</v>
      </c>
      <c r="S16" s="112">
        <v>25731643</v>
      </c>
      <c r="T16" s="280">
        <f t="shared" si="16"/>
        <v>28056383</v>
      </c>
      <c r="U16" s="279">
        <v>22709717</v>
      </c>
      <c r="V16" s="279">
        <v>5346666</v>
      </c>
      <c r="W16" s="185">
        <f t="shared" si="13"/>
        <v>0.1905686132100492</v>
      </c>
    </row>
    <row r="17" spans="1:23" s="71" customFormat="1">
      <c r="A17" s="90">
        <v>2007</v>
      </c>
      <c r="B17" s="361">
        <v>39</v>
      </c>
      <c r="C17" s="361">
        <v>12</v>
      </c>
      <c r="D17" s="194">
        <f t="shared" si="17"/>
        <v>51</v>
      </c>
      <c r="E17" s="109">
        <f t="shared" si="14"/>
        <v>23</v>
      </c>
      <c r="F17" s="109">
        <f t="shared" si="15"/>
        <v>18</v>
      </c>
      <c r="G17" s="113"/>
      <c r="H17" s="113"/>
      <c r="I17" s="361">
        <v>89</v>
      </c>
      <c r="J17" s="361">
        <v>247</v>
      </c>
      <c r="K17" s="194">
        <f t="shared" si="18"/>
        <v>336</v>
      </c>
      <c r="L17" s="361">
        <v>86.5</v>
      </c>
      <c r="M17" s="109">
        <f t="shared" si="19"/>
        <v>175.5</v>
      </c>
      <c r="N17" s="361">
        <v>44</v>
      </c>
      <c r="O17" s="308">
        <v>905</v>
      </c>
      <c r="P17" s="183">
        <f t="shared" si="12"/>
        <v>0.19392265193370165</v>
      </c>
      <c r="Q17" s="361">
        <v>86</v>
      </c>
      <c r="R17" s="361">
        <v>279</v>
      </c>
      <c r="S17" s="208">
        <v>22579174</v>
      </c>
      <c r="T17" s="280">
        <f t="shared" si="16"/>
        <v>23932805</v>
      </c>
      <c r="U17" s="279">
        <v>20013427</v>
      </c>
      <c r="V17" s="279">
        <v>3919378</v>
      </c>
      <c r="W17" s="185">
        <f t="shared" si="13"/>
        <v>0.16376592714477053</v>
      </c>
    </row>
    <row r="18" spans="1:23" s="71" customFormat="1">
      <c r="A18" s="90">
        <v>2006</v>
      </c>
      <c r="B18" s="361">
        <v>40</v>
      </c>
      <c r="C18" s="361">
        <v>12</v>
      </c>
      <c r="D18" s="194">
        <f t="shared" si="17"/>
        <v>52</v>
      </c>
      <c r="E18" s="109">
        <f t="shared" si="14"/>
        <v>23</v>
      </c>
      <c r="F18" s="109">
        <f t="shared" si="15"/>
        <v>17</v>
      </c>
      <c r="G18" s="113"/>
      <c r="H18" s="113"/>
      <c r="I18" s="361">
        <v>55</v>
      </c>
      <c r="J18" s="361">
        <v>151</v>
      </c>
      <c r="K18" s="194">
        <f t="shared" si="18"/>
        <v>206</v>
      </c>
      <c r="L18" s="361">
        <v>50</v>
      </c>
      <c r="M18" s="109">
        <f t="shared" si="19"/>
        <v>105</v>
      </c>
      <c r="N18" s="361">
        <v>22</v>
      </c>
      <c r="O18" s="308">
        <v>904</v>
      </c>
      <c r="P18" s="183">
        <f t="shared" si="12"/>
        <v>0.11615044247787611</v>
      </c>
      <c r="Q18" s="361">
        <v>58</v>
      </c>
      <c r="R18" s="361">
        <v>307</v>
      </c>
      <c r="S18" s="192">
        <v>9347242.6999999993</v>
      </c>
      <c r="T18" s="280">
        <f t="shared" si="16"/>
        <v>9661882.3100000005</v>
      </c>
      <c r="U18" s="279">
        <v>6193620.7300000004</v>
      </c>
      <c r="V18" s="279">
        <v>3468261.58</v>
      </c>
      <c r="W18" s="185">
        <f t="shared" si="13"/>
        <v>0.35896334365513505</v>
      </c>
    </row>
    <row r="19" spans="1:23" s="71" customFormat="1">
      <c r="A19" s="90">
        <v>2005</v>
      </c>
      <c r="B19" s="361">
        <v>41</v>
      </c>
      <c r="C19" s="361">
        <v>10</v>
      </c>
      <c r="D19" s="194">
        <f t="shared" si="17"/>
        <v>51</v>
      </c>
      <c r="E19" s="109">
        <f t="shared" si="14"/>
        <v>19</v>
      </c>
      <c r="F19" s="109">
        <f t="shared" si="15"/>
        <v>15</v>
      </c>
      <c r="G19" s="113"/>
      <c r="H19" s="113"/>
      <c r="I19" s="361">
        <v>67</v>
      </c>
      <c r="J19" s="361">
        <v>179</v>
      </c>
      <c r="K19" s="194">
        <f t="shared" si="18"/>
        <v>246</v>
      </c>
      <c r="L19" s="361">
        <v>70</v>
      </c>
      <c r="M19" s="109">
        <f t="shared" si="19"/>
        <v>137</v>
      </c>
      <c r="N19" s="361">
        <v>18</v>
      </c>
      <c r="O19" s="308">
        <v>779</v>
      </c>
      <c r="P19" s="183">
        <f t="shared" si="12"/>
        <v>0.17586649550706032</v>
      </c>
      <c r="Q19" s="361">
        <v>70</v>
      </c>
      <c r="R19" s="361">
        <v>303</v>
      </c>
      <c r="S19" s="192">
        <v>10869518</v>
      </c>
      <c r="T19" s="280">
        <f t="shared" si="16"/>
        <v>10869518</v>
      </c>
      <c r="U19" s="279">
        <v>5824249</v>
      </c>
      <c r="V19" s="279">
        <v>5045269</v>
      </c>
      <c r="W19" s="185">
        <f t="shared" si="13"/>
        <v>0.46416676434042431</v>
      </c>
    </row>
    <row r="20" spans="1:23" s="71" customFormat="1">
      <c r="A20" s="90">
        <v>2004</v>
      </c>
      <c r="B20" s="195">
        <v>41</v>
      </c>
      <c r="C20" s="195">
        <v>10</v>
      </c>
      <c r="D20" s="194">
        <f t="shared" si="17"/>
        <v>51</v>
      </c>
      <c r="E20" s="109">
        <f t="shared" si="14"/>
        <v>19</v>
      </c>
      <c r="F20" s="109">
        <f t="shared" si="15"/>
        <v>16</v>
      </c>
      <c r="G20" s="113"/>
      <c r="H20" s="113"/>
      <c r="I20" s="195">
        <v>45</v>
      </c>
      <c r="J20" s="195">
        <v>112</v>
      </c>
      <c r="K20" s="194">
        <f t="shared" si="18"/>
        <v>157</v>
      </c>
      <c r="L20" s="195">
        <v>55</v>
      </c>
      <c r="M20" s="109">
        <f t="shared" si="19"/>
        <v>100</v>
      </c>
      <c r="N20" s="195">
        <v>3</v>
      </c>
      <c r="O20" s="308">
        <v>792</v>
      </c>
      <c r="P20" s="183">
        <f t="shared" si="12"/>
        <v>0.12626262626262627</v>
      </c>
      <c r="Q20" s="195">
        <v>63</v>
      </c>
      <c r="R20" s="361">
        <v>457</v>
      </c>
      <c r="S20" s="192">
        <v>10302545</v>
      </c>
      <c r="T20" s="280">
        <f t="shared" si="16"/>
        <v>10490878</v>
      </c>
      <c r="U20" s="279">
        <v>5507086</v>
      </c>
      <c r="V20" s="279">
        <v>4983792</v>
      </c>
      <c r="W20" s="185">
        <f t="shared" si="13"/>
        <v>0.47505957080046113</v>
      </c>
    </row>
    <row r="21" spans="1:23" s="71" customFormat="1">
      <c r="A21" s="90">
        <v>2003</v>
      </c>
      <c r="B21" s="195">
        <v>41</v>
      </c>
      <c r="C21" s="195">
        <v>13</v>
      </c>
      <c r="D21" s="194">
        <f t="shared" si="17"/>
        <v>54</v>
      </c>
      <c r="E21" s="109">
        <f t="shared" si="14"/>
        <v>28</v>
      </c>
      <c r="F21" s="109">
        <f t="shared" si="15"/>
        <v>21</v>
      </c>
      <c r="G21" s="113"/>
      <c r="H21" s="113"/>
      <c r="I21" s="195">
        <v>55</v>
      </c>
      <c r="J21" s="195">
        <v>167</v>
      </c>
      <c r="K21" s="194">
        <f t="shared" si="18"/>
        <v>222</v>
      </c>
      <c r="L21" s="195">
        <v>90</v>
      </c>
      <c r="M21" s="109">
        <f t="shared" si="19"/>
        <v>145</v>
      </c>
      <c r="N21" s="195">
        <v>12</v>
      </c>
      <c r="O21" s="308">
        <v>1132</v>
      </c>
      <c r="P21" s="183">
        <f t="shared" si="12"/>
        <v>0.12809187279151943</v>
      </c>
      <c r="Q21" s="195">
        <v>75</v>
      </c>
      <c r="R21" s="361">
        <v>369</v>
      </c>
      <c r="S21" s="192">
        <v>9494208</v>
      </c>
      <c r="T21" s="280">
        <f t="shared" si="16"/>
        <v>9494208</v>
      </c>
      <c r="U21" s="279">
        <v>5484646</v>
      </c>
      <c r="V21" s="279">
        <v>4009562</v>
      </c>
      <c r="W21" s="185">
        <f t="shared" si="13"/>
        <v>0.42231663768057326</v>
      </c>
    </row>
    <row r="22" spans="1:23" s="71" customFormat="1">
      <c r="A22" s="90">
        <v>2002</v>
      </c>
      <c r="B22" s="195">
        <v>41</v>
      </c>
      <c r="C22" s="195">
        <v>14.25</v>
      </c>
      <c r="D22" s="194">
        <f t="shared" si="17"/>
        <v>55.25</v>
      </c>
      <c r="E22" s="109">
        <f t="shared" si="14"/>
        <v>20</v>
      </c>
      <c r="F22" s="109">
        <f t="shared" si="15"/>
        <v>15</v>
      </c>
      <c r="G22" s="113"/>
      <c r="H22" s="113"/>
      <c r="I22" s="195">
        <v>48</v>
      </c>
      <c r="J22" s="195">
        <v>153</v>
      </c>
      <c r="K22" s="194">
        <f t="shared" si="18"/>
        <v>201</v>
      </c>
      <c r="L22" s="195">
        <v>76</v>
      </c>
      <c r="M22" s="109">
        <f t="shared" si="19"/>
        <v>124</v>
      </c>
      <c r="N22" s="195">
        <v>15</v>
      </c>
      <c r="O22" s="308">
        <f>ROUND(826.56, 0)</f>
        <v>827</v>
      </c>
      <c r="P22" s="183">
        <f t="shared" si="12"/>
        <v>0.14993954050785974</v>
      </c>
      <c r="Q22" s="195">
        <v>76</v>
      </c>
      <c r="R22" s="361">
        <v>283</v>
      </c>
      <c r="S22" s="192">
        <v>9008001</v>
      </c>
      <c r="T22" s="280">
        <f t="shared" si="16"/>
        <v>9008001</v>
      </c>
      <c r="U22" s="279">
        <v>4740278</v>
      </c>
      <c r="V22" s="279">
        <v>4267723</v>
      </c>
      <c r="W22" s="185">
        <f t="shared" si="13"/>
        <v>0.47377026268092109</v>
      </c>
    </row>
    <row r="23" spans="1:23" s="13" customFormat="1">
      <c r="T23" s="309"/>
      <c r="U23" s="309"/>
      <c r="V23" s="309"/>
    </row>
    <row r="24" spans="1:23" s="14" customFormat="1"/>
    <row r="25" spans="1:23" s="14" customFormat="1"/>
    <row r="26" spans="1:23" s="14" customFormat="1"/>
    <row r="27" spans="1:23" s="14" customFormat="1"/>
    <row r="28" spans="1:23" s="14" customFormat="1"/>
    <row r="29" spans="1:23" s="14" customFormat="1"/>
    <row r="30" spans="1:23" s="14" customFormat="1"/>
    <row r="31" spans="1:23" s="14" customFormat="1"/>
    <row r="32" spans="1:23" s="14" customFormat="1"/>
  </sheetData>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HL30"/>
  <sheetViews>
    <sheetView workbookViewId="0">
      <selection activeCell="G28" sqref="G28"/>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22" width="13.28515625" bestFit="1" customWidth="1"/>
    <col min="23" max="23" width="12.85546875" bestFit="1" customWidth="1"/>
  </cols>
  <sheetData>
    <row r="1" spans="1:220" s="8" customFormat="1" ht="18.75">
      <c r="A1" s="1" t="s">
        <v>21</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41" customFormat="1">
      <c r="A3" s="417">
        <v>2021</v>
      </c>
      <c r="B3" s="412">
        <v>16</v>
      </c>
      <c r="C3" s="412">
        <v>3.75</v>
      </c>
      <c r="D3" s="437">
        <f t="shared" ref="D3" si="0">SUM(B3:C3)</f>
        <v>19.75</v>
      </c>
      <c r="E3" s="427">
        <f t="shared" ref="E3" si="1">ROUND((O3/B3), 0)</f>
        <v>18</v>
      </c>
      <c r="F3" s="427">
        <f t="shared" ref="F3" si="2">ROUND((O3/D3), 0)</f>
        <v>15</v>
      </c>
      <c r="G3" s="412">
        <v>16</v>
      </c>
      <c r="H3" s="412">
        <v>2.75</v>
      </c>
      <c r="I3" s="412">
        <v>103</v>
      </c>
      <c r="J3" s="412">
        <v>204</v>
      </c>
      <c r="K3" s="437">
        <f t="shared" ref="K3" si="3">SUM(I3:J3)</f>
        <v>307</v>
      </c>
      <c r="L3" s="412">
        <v>103.16</v>
      </c>
      <c r="M3" s="411">
        <f>(I3+L3)</f>
        <v>206.16</v>
      </c>
      <c r="N3" s="412">
        <v>29</v>
      </c>
      <c r="O3" s="412">
        <v>294.77999999999997</v>
      </c>
      <c r="P3" s="438">
        <f>M3/O3</f>
        <v>0.69936902096478737</v>
      </c>
      <c r="Q3" s="412">
        <v>105</v>
      </c>
      <c r="R3" s="412">
        <v>1</v>
      </c>
      <c r="S3" s="573">
        <v>2842724</v>
      </c>
      <c r="T3" s="574">
        <f t="shared" ref="T3" si="4">SUM(U3:V3)</f>
        <v>5999237</v>
      </c>
      <c r="U3" s="573">
        <v>1395881</v>
      </c>
      <c r="V3" s="573">
        <v>4603356</v>
      </c>
      <c r="W3" s="491">
        <f>V3/T3</f>
        <v>0.76732357798166662</v>
      </c>
    </row>
    <row r="4" spans="1:220" s="441" customFormat="1">
      <c r="A4" s="417">
        <v>2020</v>
      </c>
      <c r="B4" s="412">
        <v>15</v>
      </c>
      <c r="C4" s="412">
        <v>4.5</v>
      </c>
      <c r="D4" s="437">
        <f>SUM(B4:C4)</f>
        <v>19.5</v>
      </c>
      <c r="E4" s="427">
        <f>ROUND((O4/B4), 0)</f>
        <v>15</v>
      </c>
      <c r="F4" s="427">
        <f>ROUND((O4/D4), 0)</f>
        <v>12</v>
      </c>
      <c r="G4" s="412">
        <v>15</v>
      </c>
      <c r="H4" s="412">
        <v>3</v>
      </c>
      <c r="I4" s="412">
        <v>116</v>
      </c>
      <c r="J4" s="412">
        <v>192</v>
      </c>
      <c r="K4" s="437">
        <f t="shared" ref="K4" si="5">SUM(I4:J4)</f>
        <v>308</v>
      </c>
      <c r="L4" s="412">
        <v>101.91</v>
      </c>
      <c r="M4" s="411">
        <f>(I4+L4)</f>
        <v>217.91</v>
      </c>
      <c r="N4" s="412">
        <v>26</v>
      </c>
      <c r="O4" s="412">
        <v>227</v>
      </c>
      <c r="P4" s="438">
        <f>M4/O4</f>
        <v>0.95995594713656385</v>
      </c>
      <c r="Q4" s="412">
        <v>103</v>
      </c>
      <c r="R4" s="412">
        <v>0</v>
      </c>
      <c r="S4" s="573">
        <v>2606225</v>
      </c>
      <c r="T4" s="574">
        <f>SUM(U4:V4)</f>
        <v>4820954</v>
      </c>
      <c r="U4" s="573">
        <v>1912194</v>
      </c>
      <c r="V4" s="573">
        <v>2908760</v>
      </c>
      <c r="W4" s="491">
        <f>V4/T4</f>
        <v>0.60335775865108854</v>
      </c>
    </row>
    <row r="5" spans="1:220" s="441" customFormat="1" ht="15.75">
      <c r="A5" s="417">
        <v>2019</v>
      </c>
      <c r="B5" s="560">
        <v>13</v>
      </c>
      <c r="C5" s="560">
        <v>4.25</v>
      </c>
      <c r="D5" s="575">
        <f>SUM(B5:C5)</f>
        <v>17.25</v>
      </c>
      <c r="E5" s="576">
        <f>ROUND((O5/B5), 0)</f>
        <v>23</v>
      </c>
      <c r="F5" s="576">
        <f>ROUND((O5/D5), 0)</f>
        <v>17</v>
      </c>
      <c r="G5" s="560">
        <v>13</v>
      </c>
      <c r="H5" s="560">
        <v>3</v>
      </c>
      <c r="I5" s="560">
        <v>96</v>
      </c>
      <c r="J5" s="560">
        <v>178</v>
      </c>
      <c r="K5" s="575">
        <f>SUM(I5:J5)</f>
        <v>274</v>
      </c>
      <c r="L5" s="560">
        <v>96.38</v>
      </c>
      <c r="M5" s="576">
        <f>(I5+L5)</f>
        <v>192.38</v>
      </c>
      <c r="N5" s="560">
        <v>22</v>
      </c>
      <c r="O5" s="560">
        <v>296</v>
      </c>
      <c r="P5" s="577">
        <f>M5/O5</f>
        <v>0.64993243243243237</v>
      </c>
      <c r="Q5" s="560">
        <v>60</v>
      </c>
      <c r="R5" s="560">
        <v>2</v>
      </c>
      <c r="S5" s="578">
        <f>2416358+1066184</f>
        <v>3482542</v>
      </c>
      <c r="T5" s="579">
        <f>SUM(U5:V5)</f>
        <v>3920004</v>
      </c>
      <c r="U5" s="578">
        <v>1826035</v>
      </c>
      <c r="V5" s="578">
        <v>2093969</v>
      </c>
      <c r="W5" s="491">
        <f>V5/T5</f>
        <v>0.53417522022936714</v>
      </c>
    </row>
    <row r="6" spans="1:220" s="17" customFormat="1">
      <c r="A6" s="33">
        <v>2018</v>
      </c>
      <c r="B6" s="20">
        <v>13</v>
      </c>
      <c r="C6" s="20">
        <v>3</v>
      </c>
      <c r="D6" s="29">
        <f>SUM(B6:C6)</f>
        <v>16</v>
      </c>
      <c r="E6" s="172">
        <f>ROUND((O6/B6), 0)</f>
        <v>19</v>
      </c>
      <c r="F6" s="172">
        <f>ROUND((O6/D6), 0)</f>
        <v>16</v>
      </c>
      <c r="G6" s="20">
        <v>13</v>
      </c>
      <c r="H6" s="20">
        <v>2</v>
      </c>
      <c r="I6" s="20">
        <v>86</v>
      </c>
      <c r="J6" s="20">
        <v>144</v>
      </c>
      <c r="K6" s="29">
        <f>SUM(I6:J6)</f>
        <v>230</v>
      </c>
      <c r="L6" s="20">
        <v>80.95</v>
      </c>
      <c r="M6" s="172">
        <f>(I6+L6)</f>
        <v>166.95</v>
      </c>
      <c r="N6" s="20">
        <v>15</v>
      </c>
      <c r="O6" s="20">
        <v>252</v>
      </c>
      <c r="P6" s="183">
        <f>M6/O6</f>
        <v>0.66249999999999998</v>
      </c>
      <c r="Q6" s="20">
        <v>59</v>
      </c>
      <c r="R6" s="20">
        <v>4</v>
      </c>
      <c r="S6" s="24">
        <f>SUM(2371995+919870)</f>
        <v>3291865</v>
      </c>
      <c r="T6" s="30">
        <f>SUM(U6:V6)</f>
        <v>3325836</v>
      </c>
      <c r="U6" s="24">
        <v>1946230</v>
      </c>
      <c r="V6" s="24">
        <v>1379606</v>
      </c>
      <c r="W6" s="185">
        <f>V6/T6</f>
        <v>0.41481480145142452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13</v>
      </c>
      <c r="C7" s="20">
        <v>3</v>
      </c>
      <c r="D7" s="34">
        <f>SUM(B7:C7)</f>
        <v>16</v>
      </c>
      <c r="E7" s="34">
        <f>ROUND((O7/B7), 0)</f>
        <v>17</v>
      </c>
      <c r="F7" s="34">
        <f>ROUND((O7/D7), 0)</f>
        <v>14</v>
      </c>
      <c r="G7" s="20">
        <v>13</v>
      </c>
      <c r="H7" s="20">
        <v>1</v>
      </c>
      <c r="I7" s="20">
        <v>71</v>
      </c>
      <c r="J7" s="20">
        <v>100</v>
      </c>
      <c r="K7" s="34">
        <f>SUM(I7:J7)</f>
        <v>171</v>
      </c>
      <c r="L7" s="20">
        <v>52.42</v>
      </c>
      <c r="M7" s="36">
        <f>(I7+L7)</f>
        <v>123.42</v>
      </c>
      <c r="N7" s="344">
        <v>14</v>
      </c>
      <c r="O7" s="344">
        <v>224</v>
      </c>
      <c r="P7" s="183">
        <f t="shared" ref="P7:P22" si="6">M7/O7</f>
        <v>0.55098214285714286</v>
      </c>
      <c r="Q7" s="20">
        <v>58</v>
      </c>
      <c r="R7" s="20">
        <v>1</v>
      </c>
      <c r="S7" s="300">
        <f>(2424044+1007475)</f>
        <v>3431519</v>
      </c>
      <c r="T7" s="35">
        <f>SUM(U7:V7)</f>
        <v>3663778</v>
      </c>
      <c r="U7" s="341">
        <v>1972814</v>
      </c>
      <c r="V7" s="24">
        <f>(441852+205738+35899+1007475)</f>
        <v>1690964</v>
      </c>
      <c r="W7" s="185">
        <f t="shared" ref="W7:W22" si="7">V7/T7</f>
        <v>0.46153560614207523</v>
      </c>
    </row>
    <row r="8" spans="1:220" s="65" customFormat="1">
      <c r="A8" s="95">
        <v>2016</v>
      </c>
      <c r="B8" s="20">
        <v>15</v>
      </c>
      <c r="C8" s="20">
        <v>3.5</v>
      </c>
      <c r="D8" s="81">
        <f>SUM(B8:C8)</f>
        <v>18.5</v>
      </c>
      <c r="E8" s="82">
        <f>ROUND((O8/B8), 0)</f>
        <v>13</v>
      </c>
      <c r="F8" s="82">
        <f>ROUND((O8/D8), 0)</f>
        <v>10</v>
      </c>
      <c r="G8" s="20">
        <v>15</v>
      </c>
      <c r="H8" s="20">
        <v>1</v>
      </c>
      <c r="I8" s="20">
        <v>60</v>
      </c>
      <c r="J8" s="20">
        <v>70</v>
      </c>
      <c r="K8" s="81">
        <f>I8+J8</f>
        <v>130</v>
      </c>
      <c r="L8" s="20">
        <v>30.11</v>
      </c>
      <c r="M8" s="82">
        <f>I8+L8</f>
        <v>90.11</v>
      </c>
      <c r="N8" s="20">
        <v>18</v>
      </c>
      <c r="O8" s="20">
        <v>190.95</v>
      </c>
      <c r="P8" s="183">
        <f t="shared" si="6"/>
        <v>0.47190363969625559</v>
      </c>
      <c r="Q8" s="20">
        <v>64</v>
      </c>
      <c r="R8" s="20">
        <v>1</v>
      </c>
      <c r="S8" s="24">
        <f>(2420380+1246778)</f>
        <v>3667158</v>
      </c>
      <c r="T8" s="85">
        <f>SUM(U8:V8)</f>
        <v>3850693</v>
      </c>
      <c r="U8" s="24">
        <v>1847521</v>
      </c>
      <c r="V8" s="24">
        <f>(523061+196037+37296+1246778)</f>
        <v>2003172</v>
      </c>
      <c r="W8" s="185">
        <f t="shared" si="7"/>
        <v>0.52021077764443957</v>
      </c>
    </row>
    <row r="9" spans="1:220" s="105" customFormat="1">
      <c r="A9" s="267">
        <v>2015</v>
      </c>
      <c r="B9" s="31">
        <v>14</v>
      </c>
      <c r="C9" s="31">
        <v>3.75</v>
      </c>
      <c r="D9" s="81">
        <v>15.8</v>
      </c>
      <c r="E9" s="81">
        <v>13.9</v>
      </c>
      <c r="F9" s="81">
        <v>12.3</v>
      </c>
      <c r="G9" s="111"/>
      <c r="H9" s="111"/>
      <c r="I9" s="31">
        <v>72</v>
      </c>
      <c r="J9" s="31">
        <v>68</v>
      </c>
      <c r="K9" s="81">
        <v>140</v>
      </c>
      <c r="L9" s="31">
        <v>37</v>
      </c>
      <c r="M9" s="81">
        <v>108.73</v>
      </c>
      <c r="N9" s="31">
        <v>13</v>
      </c>
      <c r="O9" s="31">
        <v>193.97</v>
      </c>
      <c r="P9" s="183">
        <f t="shared" si="6"/>
        <v>0.5605506006083415</v>
      </c>
      <c r="Q9" s="31">
        <v>82</v>
      </c>
      <c r="R9" s="31">
        <v>5</v>
      </c>
      <c r="S9" s="300">
        <f>(2135725+1903675)</f>
        <v>4039400</v>
      </c>
      <c r="T9" s="103">
        <v>5555119</v>
      </c>
      <c r="U9" s="300">
        <v>1594806</v>
      </c>
      <c r="V9" s="300">
        <f>(520324+104557+27399+1903675)</f>
        <v>2555955</v>
      </c>
      <c r="W9" s="185">
        <f t="shared" si="7"/>
        <v>0.46010805529098475</v>
      </c>
    </row>
    <row r="10" spans="1:220" s="168" customFormat="1">
      <c r="A10" s="90">
        <v>2014</v>
      </c>
      <c r="B10" s="31">
        <v>14</v>
      </c>
      <c r="C10" s="31">
        <v>3.75</v>
      </c>
      <c r="D10" s="81">
        <f t="shared" ref="D10:D22" si="8">SUM(B10:C10)</f>
        <v>17.75</v>
      </c>
      <c r="E10" s="82">
        <f t="shared" ref="E10:E22" si="9">ROUND((O10/B10), 0)</f>
        <v>16</v>
      </c>
      <c r="F10" s="82">
        <f t="shared" ref="F10:F22" si="10">ROUND((O10/D10), 0)</f>
        <v>13</v>
      </c>
      <c r="G10" s="111"/>
      <c r="H10" s="111"/>
      <c r="I10" s="31">
        <v>74</v>
      </c>
      <c r="J10" s="31">
        <v>101</v>
      </c>
      <c r="K10" s="81">
        <f>I10+J10</f>
        <v>175</v>
      </c>
      <c r="L10" s="31">
        <v>51.48</v>
      </c>
      <c r="M10" s="82">
        <f>I10+L10</f>
        <v>125.47999999999999</v>
      </c>
      <c r="N10" s="31">
        <v>20</v>
      </c>
      <c r="O10" s="31">
        <v>226</v>
      </c>
      <c r="P10" s="183">
        <f t="shared" si="6"/>
        <v>0.55522123893805309</v>
      </c>
      <c r="Q10" s="31">
        <v>70</v>
      </c>
      <c r="R10" s="31">
        <v>2</v>
      </c>
      <c r="S10" s="162">
        <f>(2107727+2500521)</f>
        <v>4608248</v>
      </c>
      <c r="T10" s="85">
        <f t="shared" ref="T10:T22" si="11">SUM(U10:V10)</f>
        <v>4698124</v>
      </c>
      <c r="U10" s="162">
        <v>1524544</v>
      </c>
      <c r="V10" s="162">
        <f>(562559+106500+4000+2500521)</f>
        <v>3173580</v>
      </c>
      <c r="W10" s="185">
        <f t="shared" si="7"/>
        <v>0.67549941210576814</v>
      </c>
    </row>
    <row r="11" spans="1:220" s="71" customFormat="1">
      <c r="A11" s="90">
        <v>2013</v>
      </c>
      <c r="B11" s="360">
        <v>14</v>
      </c>
      <c r="C11" s="360">
        <v>4</v>
      </c>
      <c r="D11" s="108">
        <f t="shared" si="8"/>
        <v>18</v>
      </c>
      <c r="E11" s="109">
        <f t="shared" si="9"/>
        <v>18</v>
      </c>
      <c r="F11" s="109">
        <f t="shared" si="10"/>
        <v>14</v>
      </c>
      <c r="G11" s="113"/>
      <c r="H11" s="113"/>
      <c r="I11" s="360">
        <v>85</v>
      </c>
      <c r="J11" s="360">
        <v>122</v>
      </c>
      <c r="K11" s="108">
        <f>I11+J11</f>
        <v>207</v>
      </c>
      <c r="L11" s="360">
        <v>66</v>
      </c>
      <c r="M11" s="109">
        <f>I11+L11</f>
        <v>151</v>
      </c>
      <c r="N11" s="360">
        <v>19</v>
      </c>
      <c r="O11" s="360">
        <v>257.82</v>
      </c>
      <c r="P11" s="183">
        <f t="shared" si="6"/>
        <v>0.58567993173531918</v>
      </c>
      <c r="Q11" s="360">
        <v>61</v>
      </c>
      <c r="R11" s="360">
        <v>2</v>
      </c>
      <c r="S11" s="268">
        <f>(2076576+1996283)</f>
        <v>4072859</v>
      </c>
      <c r="T11" s="110">
        <f t="shared" si="11"/>
        <v>4011293</v>
      </c>
      <c r="U11" s="268">
        <v>1459196</v>
      </c>
      <c r="V11" s="268">
        <f>(549814+93657+50+1908576)</f>
        <v>2552097</v>
      </c>
      <c r="W11" s="185">
        <f t="shared" si="7"/>
        <v>0.63622801924466754</v>
      </c>
    </row>
    <row r="12" spans="1:220" s="71" customFormat="1">
      <c r="A12" s="90">
        <v>2012</v>
      </c>
      <c r="B12" s="360">
        <v>12</v>
      </c>
      <c r="C12" s="360">
        <v>5</v>
      </c>
      <c r="D12" s="108">
        <f t="shared" si="8"/>
        <v>17</v>
      </c>
      <c r="E12" s="109">
        <f t="shared" si="9"/>
        <v>25</v>
      </c>
      <c r="F12" s="109">
        <f t="shared" si="10"/>
        <v>18</v>
      </c>
      <c r="G12" s="113"/>
      <c r="H12" s="113"/>
      <c r="I12" s="360">
        <v>110</v>
      </c>
      <c r="J12" s="360">
        <v>106</v>
      </c>
      <c r="K12" s="108">
        <f>I12+J12</f>
        <v>216</v>
      </c>
      <c r="L12" s="360">
        <v>56.3</v>
      </c>
      <c r="M12" s="109">
        <f>I12+L12</f>
        <v>166.3</v>
      </c>
      <c r="N12" s="360">
        <v>15</v>
      </c>
      <c r="O12" s="360">
        <v>297.76</v>
      </c>
      <c r="P12" s="183">
        <f t="shared" si="6"/>
        <v>0.55850349274583566</v>
      </c>
      <c r="Q12" s="360">
        <v>87</v>
      </c>
      <c r="R12" s="360">
        <v>4</v>
      </c>
      <c r="S12" s="268">
        <f>(1898677+1984807)</f>
        <v>3883484</v>
      </c>
      <c r="T12" s="110">
        <f t="shared" si="11"/>
        <v>4015322</v>
      </c>
      <c r="U12" s="268">
        <v>1466353</v>
      </c>
      <c r="V12" s="268">
        <f>(477191+85351+1620+1984807)</f>
        <v>2548969</v>
      </c>
      <c r="W12" s="185">
        <f t="shared" si="7"/>
        <v>0.63481060796618549</v>
      </c>
    </row>
    <row r="13" spans="1:220" s="71" customFormat="1">
      <c r="A13" s="90" t="s">
        <v>81</v>
      </c>
      <c r="B13" s="360">
        <v>13</v>
      </c>
      <c r="C13" s="360">
        <v>4.25</v>
      </c>
      <c r="D13" s="108">
        <f t="shared" si="8"/>
        <v>17.25</v>
      </c>
      <c r="E13" s="109">
        <f t="shared" si="9"/>
        <v>21</v>
      </c>
      <c r="F13" s="109">
        <f t="shared" si="10"/>
        <v>16</v>
      </c>
      <c r="G13" s="113"/>
      <c r="H13" s="113"/>
      <c r="I13" s="360">
        <v>101</v>
      </c>
      <c r="J13" s="360">
        <v>119</v>
      </c>
      <c r="K13" s="108">
        <f t="shared" ref="K13:K22" si="12">SUM(I13:J13)</f>
        <v>220</v>
      </c>
      <c r="L13" s="360">
        <v>71.83</v>
      </c>
      <c r="M13" s="109">
        <f t="shared" ref="M13:M20" si="13">(I13+L13)</f>
        <v>172.82999999999998</v>
      </c>
      <c r="N13" s="360">
        <v>12</v>
      </c>
      <c r="O13" s="360">
        <v>274.23</v>
      </c>
      <c r="P13" s="183">
        <f t="shared" si="6"/>
        <v>0.63023739197024387</v>
      </c>
      <c r="Q13" s="360">
        <v>77</v>
      </c>
      <c r="R13" s="360">
        <v>3</v>
      </c>
      <c r="S13" s="268">
        <f>(1634443+1467470)</f>
        <v>3101913</v>
      </c>
      <c r="T13" s="110">
        <f t="shared" si="11"/>
        <v>3291419</v>
      </c>
      <c r="U13" s="268">
        <v>1280089</v>
      </c>
      <c r="V13" s="268">
        <f>(414946+90144+38770+1467470)</f>
        <v>2011330</v>
      </c>
      <c r="W13" s="185">
        <f t="shared" si="7"/>
        <v>0.61108294021514731</v>
      </c>
    </row>
    <row r="14" spans="1:220" s="71" customFormat="1">
      <c r="A14" s="90" t="s">
        <v>82</v>
      </c>
      <c r="B14" s="360">
        <v>13</v>
      </c>
      <c r="C14" s="360">
        <v>3.75</v>
      </c>
      <c r="D14" s="108">
        <f t="shared" si="8"/>
        <v>16.75</v>
      </c>
      <c r="E14" s="109">
        <f t="shared" si="9"/>
        <v>21</v>
      </c>
      <c r="F14" s="109">
        <f t="shared" si="10"/>
        <v>16</v>
      </c>
      <c r="G14" s="113"/>
      <c r="H14" s="113"/>
      <c r="I14" s="360">
        <v>99</v>
      </c>
      <c r="J14" s="360">
        <v>128</v>
      </c>
      <c r="K14" s="108">
        <f t="shared" si="12"/>
        <v>227</v>
      </c>
      <c r="L14" s="360">
        <v>72.14</v>
      </c>
      <c r="M14" s="109">
        <f t="shared" si="13"/>
        <v>171.14</v>
      </c>
      <c r="N14" s="360">
        <v>12</v>
      </c>
      <c r="O14" s="360">
        <v>268.74</v>
      </c>
      <c r="P14" s="183">
        <f t="shared" si="6"/>
        <v>0.63682369576542375</v>
      </c>
      <c r="Q14" s="360">
        <v>62</v>
      </c>
      <c r="R14" s="360">
        <v>1</v>
      </c>
      <c r="S14" s="268">
        <f>(1504440+1016469)</f>
        <v>2520909</v>
      </c>
      <c r="T14" s="110">
        <f t="shared" si="11"/>
        <v>2621603</v>
      </c>
      <c r="U14" s="268">
        <v>1270500</v>
      </c>
      <c r="V14" s="268">
        <f>(250597+78837+5200+1016469)</f>
        <v>1351103</v>
      </c>
      <c r="W14" s="185">
        <f t="shared" si="7"/>
        <v>0.51537284630815572</v>
      </c>
    </row>
    <row r="15" spans="1:220" s="71" customFormat="1">
      <c r="A15" s="90" t="s">
        <v>83</v>
      </c>
      <c r="B15" s="360">
        <v>12</v>
      </c>
      <c r="C15" s="360">
        <v>2.4</v>
      </c>
      <c r="D15" s="108">
        <f t="shared" si="8"/>
        <v>14.4</v>
      </c>
      <c r="E15" s="109">
        <f t="shared" si="9"/>
        <v>19</v>
      </c>
      <c r="F15" s="109">
        <f t="shared" si="10"/>
        <v>16</v>
      </c>
      <c r="G15" s="113"/>
      <c r="H15" s="113"/>
      <c r="I15" s="360">
        <v>91</v>
      </c>
      <c r="J15" s="360">
        <v>116</v>
      </c>
      <c r="K15" s="108">
        <f t="shared" si="12"/>
        <v>207</v>
      </c>
      <c r="L15" s="360">
        <v>61.51</v>
      </c>
      <c r="M15" s="109">
        <f t="shared" si="13"/>
        <v>152.51</v>
      </c>
      <c r="N15" s="360">
        <v>9</v>
      </c>
      <c r="O15" s="360">
        <v>226.53</v>
      </c>
      <c r="P15" s="183">
        <f t="shared" si="6"/>
        <v>0.67324416192115832</v>
      </c>
      <c r="Q15" s="360">
        <v>59</v>
      </c>
      <c r="R15" s="360">
        <v>1</v>
      </c>
      <c r="S15" s="268">
        <f>(1544510+726330)</f>
        <v>2270840</v>
      </c>
      <c r="T15" s="110">
        <f t="shared" si="11"/>
        <v>2340342</v>
      </c>
      <c r="U15" s="268">
        <v>1304753</v>
      </c>
      <c r="V15" s="268">
        <f>(73942+21035+726330+214282)</f>
        <v>1035589</v>
      </c>
      <c r="W15" s="185">
        <f t="shared" si="7"/>
        <v>0.44249472940279666</v>
      </c>
    </row>
    <row r="16" spans="1:220" s="71" customFormat="1">
      <c r="A16" s="90" t="s">
        <v>84</v>
      </c>
      <c r="B16" s="360">
        <v>12</v>
      </c>
      <c r="C16" s="360">
        <v>3</v>
      </c>
      <c r="D16" s="108">
        <f t="shared" si="8"/>
        <v>15</v>
      </c>
      <c r="E16" s="109">
        <f t="shared" si="9"/>
        <v>12</v>
      </c>
      <c r="F16" s="109">
        <f t="shared" si="10"/>
        <v>9</v>
      </c>
      <c r="G16" s="113"/>
      <c r="H16" s="113"/>
      <c r="I16" s="360">
        <v>65</v>
      </c>
      <c r="J16" s="360">
        <v>116</v>
      </c>
      <c r="K16" s="108">
        <f t="shared" si="12"/>
        <v>181</v>
      </c>
      <c r="L16" s="360">
        <v>62.99</v>
      </c>
      <c r="M16" s="109">
        <f t="shared" si="13"/>
        <v>127.99000000000001</v>
      </c>
      <c r="N16" s="360">
        <v>10</v>
      </c>
      <c r="O16" s="360">
        <v>138</v>
      </c>
      <c r="P16" s="183">
        <f t="shared" si="6"/>
        <v>0.92746376811594211</v>
      </c>
      <c r="Q16" s="360">
        <v>75</v>
      </c>
      <c r="R16" s="360">
        <v>0</v>
      </c>
      <c r="S16" s="268">
        <f>(1559235+738115)</f>
        <v>2297350</v>
      </c>
      <c r="T16" s="110">
        <f t="shared" si="11"/>
        <v>2430491</v>
      </c>
      <c r="U16" s="268">
        <v>1540205</v>
      </c>
      <c r="V16" s="268">
        <f>(101917+29791+738115+20463)</f>
        <v>890286</v>
      </c>
      <c r="W16" s="185">
        <f t="shared" si="7"/>
        <v>0.36629882603967678</v>
      </c>
    </row>
    <row r="17" spans="1:23" s="71" customFormat="1">
      <c r="A17" s="90">
        <v>2007</v>
      </c>
      <c r="B17" s="360">
        <v>12</v>
      </c>
      <c r="C17" s="360">
        <v>2.6</v>
      </c>
      <c r="D17" s="194">
        <f t="shared" si="8"/>
        <v>14.6</v>
      </c>
      <c r="E17" s="109">
        <f t="shared" si="9"/>
        <v>11</v>
      </c>
      <c r="F17" s="109">
        <f t="shared" si="10"/>
        <v>9</v>
      </c>
      <c r="G17" s="113"/>
      <c r="H17" s="113"/>
      <c r="I17" s="360">
        <v>71</v>
      </c>
      <c r="J17" s="360">
        <v>132</v>
      </c>
      <c r="K17" s="194">
        <f t="shared" si="12"/>
        <v>203</v>
      </c>
      <c r="L17" s="360">
        <v>58.89</v>
      </c>
      <c r="M17" s="109">
        <f t="shared" si="13"/>
        <v>129.88999999999999</v>
      </c>
      <c r="N17" s="360">
        <v>12</v>
      </c>
      <c r="O17" s="360">
        <v>137</v>
      </c>
      <c r="P17" s="183">
        <f t="shared" si="6"/>
        <v>0.94810218978102179</v>
      </c>
      <c r="Q17" s="360">
        <v>62</v>
      </c>
      <c r="R17" s="360">
        <v>0</v>
      </c>
      <c r="S17" s="310">
        <v>3871096</v>
      </c>
      <c r="T17" s="110">
        <f t="shared" si="11"/>
        <v>3871096</v>
      </c>
      <c r="U17" s="310">
        <v>1846382</v>
      </c>
      <c r="V17" s="310">
        <v>2024714</v>
      </c>
      <c r="W17" s="185">
        <f t="shared" si="7"/>
        <v>0.52303378681386359</v>
      </c>
    </row>
    <row r="18" spans="1:23" s="71" customFormat="1">
      <c r="A18" s="90">
        <v>2006</v>
      </c>
      <c r="B18" s="360">
        <v>13</v>
      </c>
      <c r="C18" s="360">
        <v>2</v>
      </c>
      <c r="D18" s="194">
        <f t="shared" si="8"/>
        <v>15</v>
      </c>
      <c r="E18" s="109">
        <f t="shared" si="9"/>
        <v>11</v>
      </c>
      <c r="F18" s="109">
        <f t="shared" si="10"/>
        <v>10</v>
      </c>
      <c r="G18" s="113"/>
      <c r="H18" s="113"/>
      <c r="I18" s="360">
        <v>63</v>
      </c>
      <c r="J18" s="360">
        <v>141</v>
      </c>
      <c r="K18" s="194">
        <f t="shared" si="12"/>
        <v>204</v>
      </c>
      <c r="L18" s="360">
        <v>77</v>
      </c>
      <c r="M18" s="109">
        <f t="shared" si="13"/>
        <v>140</v>
      </c>
      <c r="N18" s="360">
        <v>13</v>
      </c>
      <c r="O18" s="360">
        <v>147</v>
      </c>
      <c r="P18" s="183">
        <f t="shared" si="6"/>
        <v>0.95238095238095233</v>
      </c>
      <c r="Q18" s="360">
        <v>75</v>
      </c>
      <c r="R18" s="360">
        <v>0</v>
      </c>
      <c r="S18" s="311">
        <v>3440231</v>
      </c>
      <c r="T18" s="110">
        <f t="shared" si="11"/>
        <v>3440231</v>
      </c>
      <c r="U18" s="311">
        <v>1559489</v>
      </c>
      <c r="V18" s="311">
        <v>1880742</v>
      </c>
      <c r="W18" s="185">
        <f t="shared" si="7"/>
        <v>0.54669061467093338</v>
      </c>
    </row>
    <row r="19" spans="1:23" s="71" customFormat="1">
      <c r="A19" s="90">
        <v>2005</v>
      </c>
      <c r="B19" s="360">
        <v>12</v>
      </c>
      <c r="C19" s="360">
        <v>3</v>
      </c>
      <c r="D19" s="194">
        <f t="shared" si="8"/>
        <v>15</v>
      </c>
      <c r="E19" s="109">
        <f t="shared" si="9"/>
        <v>12</v>
      </c>
      <c r="F19" s="109">
        <f t="shared" si="10"/>
        <v>9</v>
      </c>
      <c r="G19" s="113"/>
      <c r="H19" s="113"/>
      <c r="I19" s="360">
        <v>54</v>
      </c>
      <c r="J19" s="360">
        <v>133</v>
      </c>
      <c r="K19" s="194">
        <f t="shared" si="12"/>
        <v>187</v>
      </c>
      <c r="L19" s="360">
        <v>80</v>
      </c>
      <c r="M19" s="109">
        <f t="shared" si="13"/>
        <v>134</v>
      </c>
      <c r="N19" s="360">
        <v>3</v>
      </c>
      <c r="O19" s="360">
        <v>139</v>
      </c>
      <c r="P19" s="183">
        <f t="shared" si="6"/>
        <v>0.96402877697841727</v>
      </c>
      <c r="Q19" s="360">
        <v>77</v>
      </c>
      <c r="R19" s="360">
        <v>0</v>
      </c>
      <c r="S19" s="311">
        <v>2871077</v>
      </c>
      <c r="T19" s="110">
        <f t="shared" si="11"/>
        <v>2871007</v>
      </c>
      <c r="U19" s="311">
        <v>1481381</v>
      </c>
      <c r="V19" s="311">
        <v>1389626</v>
      </c>
      <c r="W19" s="185">
        <f t="shared" si="7"/>
        <v>0.48402041513657057</v>
      </c>
    </row>
    <row r="20" spans="1:23" s="71" customFormat="1">
      <c r="A20" s="90">
        <v>2004</v>
      </c>
      <c r="B20" s="312">
        <v>10</v>
      </c>
      <c r="C20" s="312">
        <v>4</v>
      </c>
      <c r="D20" s="194">
        <f t="shared" si="8"/>
        <v>14</v>
      </c>
      <c r="E20" s="109">
        <f t="shared" si="9"/>
        <v>17</v>
      </c>
      <c r="F20" s="109">
        <f t="shared" si="10"/>
        <v>12</v>
      </c>
      <c r="G20" s="113"/>
      <c r="H20" s="113"/>
      <c r="I20" s="312">
        <v>79</v>
      </c>
      <c r="J20" s="312">
        <v>152</v>
      </c>
      <c r="K20" s="194">
        <f t="shared" si="12"/>
        <v>231</v>
      </c>
      <c r="L20" s="312">
        <v>85</v>
      </c>
      <c r="M20" s="109">
        <f t="shared" si="13"/>
        <v>164</v>
      </c>
      <c r="N20" s="312">
        <v>4</v>
      </c>
      <c r="O20" s="312">
        <v>168</v>
      </c>
      <c r="P20" s="183">
        <f t="shared" si="6"/>
        <v>0.97619047619047616</v>
      </c>
      <c r="Q20" s="312">
        <v>64</v>
      </c>
      <c r="R20" s="360">
        <v>0</v>
      </c>
      <c r="S20" s="311">
        <v>2785277</v>
      </c>
      <c r="T20" s="110">
        <f t="shared" si="11"/>
        <v>3485565</v>
      </c>
      <c r="U20" s="311">
        <v>1273233</v>
      </c>
      <c r="V20" s="311">
        <v>2212332</v>
      </c>
      <c r="W20" s="185">
        <f t="shared" si="7"/>
        <v>0.63471259322376716</v>
      </c>
    </row>
    <row r="21" spans="1:23" s="71" customFormat="1">
      <c r="A21" s="90">
        <v>2003</v>
      </c>
      <c r="B21" s="312">
        <v>10</v>
      </c>
      <c r="C21" s="312">
        <v>4</v>
      </c>
      <c r="D21" s="194">
        <f t="shared" si="8"/>
        <v>14</v>
      </c>
      <c r="E21" s="109">
        <f t="shared" si="9"/>
        <v>19</v>
      </c>
      <c r="F21" s="109">
        <f t="shared" si="10"/>
        <v>14</v>
      </c>
      <c r="G21" s="113"/>
      <c r="H21" s="113"/>
      <c r="I21" s="312">
        <v>99</v>
      </c>
      <c r="J21" s="312">
        <v>157</v>
      </c>
      <c r="K21" s="194">
        <f t="shared" si="12"/>
        <v>256</v>
      </c>
      <c r="L21" s="312">
        <v>95</v>
      </c>
      <c r="M21" s="109">
        <v>188</v>
      </c>
      <c r="N21" s="312">
        <v>13</v>
      </c>
      <c r="O21" s="312">
        <v>194</v>
      </c>
      <c r="P21" s="183">
        <f t="shared" si="6"/>
        <v>0.96907216494845361</v>
      </c>
      <c r="Q21" s="312">
        <v>49</v>
      </c>
      <c r="R21" s="360">
        <v>0</v>
      </c>
      <c r="S21" s="311">
        <v>2867795</v>
      </c>
      <c r="T21" s="110">
        <f t="shared" si="11"/>
        <v>3258204</v>
      </c>
      <c r="U21" s="311">
        <v>1242959</v>
      </c>
      <c r="V21" s="311">
        <v>2015245</v>
      </c>
      <c r="W21" s="185">
        <f t="shared" si="7"/>
        <v>0.61851406480379989</v>
      </c>
    </row>
    <row r="22" spans="1:23" s="71" customFormat="1">
      <c r="A22" s="90">
        <v>2002</v>
      </c>
      <c r="B22" s="312">
        <v>12</v>
      </c>
      <c r="C22" s="312">
        <v>4</v>
      </c>
      <c r="D22" s="194">
        <f t="shared" si="8"/>
        <v>16</v>
      </c>
      <c r="E22" s="109">
        <f t="shared" si="9"/>
        <v>12</v>
      </c>
      <c r="F22" s="109">
        <f t="shared" si="10"/>
        <v>9</v>
      </c>
      <c r="G22" s="113"/>
      <c r="H22" s="113"/>
      <c r="I22" s="312">
        <v>58</v>
      </c>
      <c r="J22" s="312">
        <v>144</v>
      </c>
      <c r="K22" s="194">
        <f t="shared" si="12"/>
        <v>202</v>
      </c>
      <c r="L22" s="312">
        <f>ROUND(82.25, 0)</f>
        <v>82</v>
      </c>
      <c r="M22" s="109">
        <f>(I22+L22)</f>
        <v>140</v>
      </c>
      <c r="N22" s="312">
        <v>16</v>
      </c>
      <c r="O22" s="312">
        <f>ROUND(144.58, 0)</f>
        <v>145</v>
      </c>
      <c r="P22" s="183">
        <f t="shared" si="6"/>
        <v>0.96551724137931039</v>
      </c>
      <c r="Q22" s="312">
        <v>45</v>
      </c>
      <c r="R22" s="360">
        <v>2</v>
      </c>
      <c r="S22" s="311">
        <v>2626833</v>
      </c>
      <c r="T22" s="110">
        <f t="shared" si="11"/>
        <v>2765253</v>
      </c>
      <c r="U22" s="311">
        <v>1334096</v>
      </c>
      <c r="V22" s="311">
        <v>1431157</v>
      </c>
      <c r="W22" s="185">
        <f t="shared" si="7"/>
        <v>0.51755011205123003</v>
      </c>
    </row>
    <row r="23" spans="1:23" s="71" customFormat="1" ht="58.15" customHeight="1">
      <c r="A23" s="654" t="s">
        <v>163</v>
      </c>
      <c r="B23" s="667"/>
      <c r="C23" s="667"/>
      <c r="D23" s="667"/>
      <c r="E23" s="667"/>
      <c r="F23" s="667"/>
      <c r="G23" s="667"/>
      <c r="H23" s="667"/>
      <c r="I23" s="667"/>
      <c r="J23" s="667"/>
      <c r="K23" s="667"/>
      <c r="L23" s="667"/>
      <c r="M23" s="667"/>
      <c r="N23" s="667"/>
      <c r="O23" s="667"/>
      <c r="P23" s="667"/>
      <c r="Q23" s="667"/>
      <c r="R23" s="667"/>
      <c r="S23" s="667"/>
      <c r="T23" s="667"/>
      <c r="U23" s="667"/>
      <c r="V23" s="667"/>
      <c r="W23" s="667"/>
    </row>
    <row r="24" spans="1:23" s="71" customFormat="1">
      <c r="A24" s="170"/>
      <c r="B24" s="313"/>
      <c r="C24" s="313"/>
      <c r="D24" s="313"/>
      <c r="E24" s="313"/>
      <c r="F24" s="313"/>
      <c r="G24" s="313"/>
      <c r="H24" s="313"/>
    </row>
    <row r="25" spans="1:23" s="71" customFormat="1">
      <c r="A25" s="171"/>
      <c r="B25" s="313"/>
      <c r="C25" s="313"/>
      <c r="D25" s="313"/>
      <c r="E25" s="313"/>
      <c r="F25" s="313"/>
      <c r="G25" s="313"/>
      <c r="H25" s="313"/>
    </row>
    <row r="26" spans="1:23" s="71" customFormat="1">
      <c r="A26" s="171"/>
      <c r="B26" s="313"/>
      <c r="C26" s="313"/>
      <c r="D26" s="313"/>
      <c r="E26" s="313"/>
      <c r="F26" s="313"/>
      <c r="G26" s="313"/>
      <c r="H26" s="313"/>
    </row>
    <row r="27" spans="1:23" s="71" customFormat="1"/>
    <row r="28" spans="1:23" s="71" customFormat="1"/>
    <row r="29" spans="1:23" s="66" customFormat="1"/>
    <row r="30" spans="1:23" s="14" customFormat="1">
      <c r="G30"/>
      <c r="H30"/>
    </row>
  </sheetData>
  <mergeCells count="1">
    <mergeCell ref="A23:W23"/>
  </mergeCells>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HL32"/>
  <sheetViews>
    <sheetView workbookViewId="0">
      <selection activeCell="S30" sqref="S30"/>
    </sheetView>
  </sheetViews>
  <sheetFormatPr defaultColWidth="8.85546875" defaultRowHeight="15"/>
  <cols>
    <col min="1" max="1" width="10.140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2" width="10.85546875" bestFit="1" customWidth="1"/>
    <col min="23" max="23" width="12.85546875" bestFit="1" customWidth="1"/>
  </cols>
  <sheetData>
    <row r="1" spans="1:220" s="8" customFormat="1" ht="18.75">
      <c r="A1" s="1" t="s">
        <v>72</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c r="A3" s="11">
        <v>2021</v>
      </c>
      <c r="B3" s="507">
        <v>22</v>
      </c>
      <c r="C3" s="507">
        <v>7.67</v>
      </c>
      <c r="D3" s="410">
        <f t="shared" ref="D3" si="0">SUM(B3:C3)</f>
        <v>29.67</v>
      </c>
      <c r="E3" s="411">
        <f t="shared" ref="E3" si="1">ROUND((O3/B3), 0)</f>
        <v>19</v>
      </c>
      <c r="F3" s="411">
        <f t="shared" ref="F3" si="2">ROUND((O3/D3), 0)</f>
        <v>14</v>
      </c>
      <c r="G3" s="507">
        <v>19</v>
      </c>
      <c r="H3" s="507">
        <v>4.67</v>
      </c>
      <c r="I3" s="507">
        <v>224</v>
      </c>
      <c r="J3" s="507">
        <v>37</v>
      </c>
      <c r="K3" s="410">
        <f t="shared" ref="K3" si="3">SUM(I3:J3)</f>
        <v>261</v>
      </c>
      <c r="L3" s="507">
        <v>16.97</v>
      </c>
      <c r="M3" s="411">
        <f>(I3+L3)</f>
        <v>240.97</v>
      </c>
      <c r="N3" s="507">
        <v>66</v>
      </c>
      <c r="O3" s="507">
        <v>427.83</v>
      </c>
      <c r="P3" s="413">
        <f t="shared" ref="P3" si="4">M3/O3</f>
        <v>0.56323773461421589</v>
      </c>
      <c r="Q3" s="507">
        <v>94</v>
      </c>
      <c r="R3" s="507">
        <v>1</v>
      </c>
      <c r="S3" s="414">
        <v>9216742</v>
      </c>
      <c r="T3" s="415">
        <v>10020954</v>
      </c>
      <c r="U3" s="414">
        <v>9845712</v>
      </c>
      <c r="V3" s="535">
        <v>175242</v>
      </c>
      <c r="W3" s="335">
        <v>1.7500000000000002E-2</v>
      </c>
    </row>
    <row r="4" spans="1:220">
      <c r="A4" s="11">
        <v>2020</v>
      </c>
      <c r="B4">
        <v>22</v>
      </c>
      <c r="C4">
        <v>5.73</v>
      </c>
      <c r="D4" s="410">
        <f>SUM(B4:C4)</f>
        <v>27.73</v>
      </c>
      <c r="E4" s="411">
        <f>ROUND((O4/B4), 0)</f>
        <v>9</v>
      </c>
      <c r="F4" s="411">
        <f>ROUND((O4/D4), 0)</f>
        <v>7</v>
      </c>
      <c r="G4">
        <v>21</v>
      </c>
      <c r="H4">
        <v>3.36</v>
      </c>
      <c r="I4">
        <v>139</v>
      </c>
      <c r="J4">
        <v>44</v>
      </c>
      <c r="K4" s="410">
        <f t="shared" ref="K4" si="5">SUM(I4:J4)</f>
        <v>183</v>
      </c>
      <c r="L4">
        <v>22.79</v>
      </c>
      <c r="M4" s="411">
        <f>(I4+L4)</f>
        <v>161.79</v>
      </c>
      <c r="N4">
        <v>53</v>
      </c>
      <c r="O4">
        <v>198.97</v>
      </c>
      <c r="P4" s="413">
        <f t="shared" ref="P4" si="6">M4/O4</f>
        <v>0.81313765894355927</v>
      </c>
      <c r="Q4">
        <v>111</v>
      </c>
      <c r="R4">
        <v>11</v>
      </c>
      <c r="S4" s="414">
        <v>9440934</v>
      </c>
      <c r="T4" s="415">
        <f>SUM(U4:V4)</f>
        <v>11069001</v>
      </c>
      <c r="U4" s="414">
        <v>11002948</v>
      </c>
      <c r="V4" s="454">
        <v>66053</v>
      </c>
      <c r="W4" s="335">
        <f t="shared" ref="W4" si="7">V4/T4</f>
        <v>5.9673858553269624E-3</v>
      </c>
    </row>
    <row r="5" spans="1:220">
      <c r="A5" s="11">
        <v>2019</v>
      </c>
      <c r="B5">
        <v>20</v>
      </c>
      <c r="C5">
        <v>9.85</v>
      </c>
      <c r="D5" s="410">
        <f>SUM(B5:C5)</f>
        <v>29.85</v>
      </c>
      <c r="E5" s="411">
        <f>ROUND((O5/B5), 0)</f>
        <v>20</v>
      </c>
      <c r="F5" s="411">
        <f>ROUND((O5/D5), 0)</f>
        <v>14</v>
      </c>
      <c r="G5">
        <v>20</v>
      </c>
      <c r="H5">
        <v>5.35</v>
      </c>
      <c r="I5">
        <v>181</v>
      </c>
      <c r="J5">
        <v>40</v>
      </c>
      <c r="K5" s="410">
        <f>SUM(I5:J5)</f>
        <v>221</v>
      </c>
      <c r="L5">
        <v>26.8</v>
      </c>
      <c r="M5" s="411">
        <f>(I5+L5)</f>
        <v>207.8</v>
      </c>
      <c r="N5">
        <v>42</v>
      </c>
      <c r="O5">
        <v>409.33</v>
      </c>
      <c r="P5" s="413">
        <f>M5/O5</f>
        <v>0.50765885715681724</v>
      </c>
      <c r="Q5">
        <v>123</v>
      </c>
      <c r="R5">
        <v>7</v>
      </c>
      <c r="S5" s="414">
        <v>7851814.1100000013</v>
      </c>
      <c r="T5" s="415">
        <f>SUM(U5:V5)</f>
        <v>7235777.2800000003</v>
      </c>
      <c r="U5" s="414">
        <v>5764603.2800000003</v>
      </c>
      <c r="V5" s="454">
        <v>1471174</v>
      </c>
      <c r="W5" s="335">
        <f>V5/T5</f>
        <v>0.2033194144969592</v>
      </c>
    </row>
    <row r="6" spans="1:220" s="17" customFormat="1">
      <c r="A6" s="33">
        <v>2018</v>
      </c>
      <c r="B6" s="20">
        <v>20</v>
      </c>
      <c r="C6" s="393">
        <v>8.32</v>
      </c>
      <c r="D6" s="29">
        <f>SUM(B6:C6)</f>
        <v>28.32</v>
      </c>
      <c r="E6" s="172">
        <f>ROUND((O6/B6), 0)</f>
        <v>24</v>
      </c>
      <c r="F6" s="172">
        <f>ROUND((O6/D6), 0)</f>
        <v>17</v>
      </c>
      <c r="G6" s="20">
        <v>20</v>
      </c>
      <c r="H6" s="20">
        <v>8.32</v>
      </c>
      <c r="I6" s="20">
        <v>210</v>
      </c>
      <c r="J6" s="20">
        <v>69</v>
      </c>
      <c r="K6" s="29">
        <f t="shared" ref="K6" si="8">SUM(I6:J6)</f>
        <v>279</v>
      </c>
      <c r="L6" s="20">
        <v>46.23</v>
      </c>
      <c r="M6" s="172">
        <f>(I6+L6)</f>
        <v>256.23</v>
      </c>
      <c r="N6" s="20">
        <v>55</v>
      </c>
      <c r="O6" s="20">
        <v>487.78</v>
      </c>
      <c r="P6" s="183">
        <f>M6/O6</f>
        <v>0.52529829021280094</v>
      </c>
      <c r="Q6" s="20">
        <v>110</v>
      </c>
      <c r="R6" s="20">
        <v>3</v>
      </c>
      <c r="S6" s="24">
        <v>6547350.7500000009</v>
      </c>
      <c r="T6" s="30">
        <f>SUM(U6:V6)</f>
        <v>7633635.9399999995</v>
      </c>
      <c r="U6" s="24">
        <v>5832154.0199999996</v>
      </c>
      <c r="V6" s="24">
        <v>1801481.9200000002</v>
      </c>
      <c r="W6" s="185">
        <f>V6/T6</f>
        <v>0.23599264284537</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20</v>
      </c>
      <c r="C7" s="20">
        <v>7.69</v>
      </c>
      <c r="D7" s="34">
        <f>SUM(B7:C7)</f>
        <v>27.69</v>
      </c>
      <c r="E7" s="34">
        <f>ROUND((O7/B7), 0)</f>
        <v>25</v>
      </c>
      <c r="F7" s="34">
        <f>ROUND((O7/D7), 0)</f>
        <v>18</v>
      </c>
      <c r="G7" s="20">
        <v>20</v>
      </c>
      <c r="H7" s="20">
        <v>7.69</v>
      </c>
      <c r="I7" s="20">
        <v>223</v>
      </c>
      <c r="J7" s="20">
        <v>31</v>
      </c>
      <c r="K7" s="34">
        <f>SUM(I7:J7)</f>
        <v>254</v>
      </c>
      <c r="L7" s="20">
        <v>21.51</v>
      </c>
      <c r="M7" s="36">
        <f>(I7+L7)</f>
        <v>244.51</v>
      </c>
      <c r="N7" s="344">
        <v>51</v>
      </c>
      <c r="O7" s="20">
        <v>494.04</v>
      </c>
      <c r="P7" s="183">
        <f t="shared" ref="P7:P22" si="9">M7/O7</f>
        <v>0.49491943972148</v>
      </c>
      <c r="Q7" s="20">
        <v>76</v>
      </c>
      <c r="R7" s="20">
        <v>6</v>
      </c>
      <c r="S7" s="300">
        <v>8918341.7599999998</v>
      </c>
      <c r="T7" s="35">
        <f>SUM(U7:V7)</f>
        <v>5522557.25</v>
      </c>
      <c r="U7" s="341">
        <v>4080849</v>
      </c>
      <c r="V7" s="24">
        <v>1441708.25</v>
      </c>
      <c r="W7" s="185">
        <f t="shared" ref="W7:W22" si="10">V7/T7</f>
        <v>0.26105809043446315</v>
      </c>
    </row>
    <row r="8" spans="1:220" s="65" customFormat="1">
      <c r="A8" s="95">
        <v>2016</v>
      </c>
      <c r="B8" s="63">
        <v>19</v>
      </c>
      <c r="C8" s="63">
        <v>6.96</v>
      </c>
      <c r="D8" s="81">
        <f>SUM(B8:C8)</f>
        <v>25.96</v>
      </c>
      <c r="E8" s="82">
        <f>ROUND((O8/B8), 0)</f>
        <v>24</v>
      </c>
      <c r="F8" s="82">
        <f>ROUND((O8/D8), 0)</f>
        <v>17</v>
      </c>
      <c r="G8" s="83">
        <v>19</v>
      </c>
      <c r="H8" s="83">
        <v>5.46</v>
      </c>
      <c r="I8" s="63">
        <v>175</v>
      </c>
      <c r="J8" s="63">
        <v>57</v>
      </c>
      <c r="K8" s="81">
        <f>I8+J8</f>
        <v>232</v>
      </c>
      <c r="L8" s="63">
        <v>38.19</v>
      </c>
      <c r="M8" s="82">
        <f>I8+L8</f>
        <v>213.19</v>
      </c>
      <c r="N8" s="63">
        <v>38</v>
      </c>
      <c r="O8" s="63">
        <v>452.55</v>
      </c>
      <c r="P8" s="183">
        <f t="shared" si="9"/>
        <v>0.47108606783780799</v>
      </c>
      <c r="Q8" s="63">
        <v>86</v>
      </c>
      <c r="R8" s="63">
        <v>5</v>
      </c>
      <c r="S8" s="74">
        <v>6497246.7999999998</v>
      </c>
      <c r="T8" s="314">
        <f>SUM(U8:V8)</f>
        <v>5702547.4100000001</v>
      </c>
      <c r="U8" s="74">
        <v>4003176.59</v>
      </c>
      <c r="V8" s="74">
        <v>1699370.82</v>
      </c>
      <c r="W8" s="185">
        <f t="shared" si="10"/>
        <v>0.29800205028019222</v>
      </c>
    </row>
    <row r="9" spans="1:220" s="105" customFormat="1">
      <c r="A9" s="267">
        <v>2015</v>
      </c>
      <c r="B9" s="91">
        <v>20</v>
      </c>
      <c r="C9" s="91">
        <v>3.22</v>
      </c>
      <c r="D9" s="81">
        <v>23.22</v>
      </c>
      <c r="E9" s="81">
        <v>18.399999999999999</v>
      </c>
      <c r="F9" s="81">
        <v>15.9</v>
      </c>
      <c r="G9" s="111"/>
      <c r="H9" s="111"/>
      <c r="I9" s="91">
        <v>151</v>
      </c>
      <c r="J9" s="91">
        <v>39</v>
      </c>
      <c r="K9" s="81">
        <v>190</v>
      </c>
      <c r="L9" s="91">
        <v>26</v>
      </c>
      <c r="M9" s="81">
        <v>177.13</v>
      </c>
      <c r="N9" s="91">
        <v>38</v>
      </c>
      <c r="O9" s="91">
        <v>368.52</v>
      </c>
      <c r="P9" s="183">
        <f t="shared" si="9"/>
        <v>0.48065233908607402</v>
      </c>
      <c r="Q9" s="91">
        <v>94</v>
      </c>
      <c r="R9" s="91">
        <v>2</v>
      </c>
      <c r="S9" s="102">
        <v>6607930</v>
      </c>
      <c r="T9" s="103">
        <v>6804603</v>
      </c>
      <c r="U9" s="102">
        <v>3886630</v>
      </c>
      <c r="V9" s="102">
        <v>2917973</v>
      </c>
      <c r="W9" s="185">
        <f t="shared" si="10"/>
        <v>0.42882340086556114</v>
      </c>
    </row>
    <row r="10" spans="1:220" s="105" customFormat="1">
      <c r="A10" s="90">
        <v>2014</v>
      </c>
      <c r="B10" s="91">
        <v>22</v>
      </c>
      <c r="C10" s="91">
        <v>3.28</v>
      </c>
      <c r="D10" s="81">
        <f t="shared" ref="D10:D22" si="11">SUM(B10:C10)</f>
        <v>25.28</v>
      </c>
      <c r="E10" s="82">
        <f t="shared" ref="E10:E22" si="12">ROUND((O10/B10), 0)</f>
        <v>19</v>
      </c>
      <c r="F10" s="82">
        <f t="shared" ref="F10:F22" si="13">ROUND((O10/D10), 0)</f>
        <v>16</v>
      </c>
      <c r="G10" s="111"/>
      <c r="H10" s="111"/>
      <c r="I10" s="91">
        <v>157</v>
      </c>
      <c r="J10" s="91">
        <v>48</v>
      </c>
      <c r="K10" s="81">
        <f>I10+J10</f>
        <v>205</v>
      </c>
      <c r="L10" s="91">
        <v>32.159999999999997</v>
      </c>
      <c r="M10" s="82">
        <f>I10+L10</f>
        <v>189.16</v>
      </c>
      <c r="N10" s="91">
        <v>41</v>
      </c>
      <c r="O10" s="91">
        <v>417</v>
      </c>
      <c r="P10" s="183">
        <f t="shared" si="9"/>
        <v>0.45362110311750597</v>
      </c>
      <c r="Q10" s="91">
        <v>101</v>
      </c>
      <c r="R10" s="91">
        <v>2</v>
      </c>
      <c r="S10" s="92">
        <v>6274970</v>
      </c>
      <c r="T10" s="85">
        <f t="shared" ref="T10:T22" si="14">SUM(U10:V10)</f>
        <v>6893190</v>
      </c>
      <c r="U10" s="92">
        <v>3818114</v>
      </c>
      <c r="V10" s="92">
        <v>3075076</v>
      </c>
      <c r="W10" s="185">
        <f t="shared" si="10"/>
        <v>0.4461034731379811</v>
      </c>
    </row>
    <row r="11" spans="1:220" s="71" customFormat="1">
      <c r="A11" s="90">
        <v>2013</v>
      </c>
      <c r="B11" s="353">
        <v>19</v>
      </c>
      <c r="C11" s="353">
        <v>6.52</v>
      </c>
      <c r="D11" s="108">
        <f t="shared" si="11"/>
        <v>25.52</v>
      </c>
      <c r="E11" s="109">
        <f t="shared" si="12"/>
        <v>25</v>
      </c>
      <c r="F11" s="109">
        <f t="shared" si="13"/>
        <v>19</v>
      </c>
      <c r="G11" s="113"/>
      <c r="H11" s="113"/>
      <c r="I11" s="353">
        <v>181</v>
      </c>
      <c r="J11" s="353">
        <v>42</v>
      </c>
      <c r="K11" s="108">
        <f>I11+J11</f>
        <v>223</v>
      </c>
      <c r="L11" s="353">
        <v>28.14</v>
      </c>
      <c r="M11" s="109">
        <f>I11+L11</f>
        <v>209.14</v>
      </c>
      <c r="N11" s="353">
        <v>32</v>
      </c>
      <c r="O11" s="353">
        <v>477.48</v>
      </c>
      <c r="P11" s="183">
        <f t="shared" si="9"/>
        <v>0.43800787467537905</v>
      </c>
      <c r="Q11" s="353">
        <v>91</v>
      </c>
      <c r="R11" s="353">
        <v>4</v>
      </c>
      <c r="S11" s="112">
        <v>6554820</v>
      </c>
      <c r="T11" s="110">
        <f t="shared" si="14"/>
        <v>6400504</v>
      </c>
      <c r="U11" s="112">
        <v>3778475</v>
      </c>
      <c r="V11" s="112">
        <v>2622029</v>
      </c>
      <c r="W11" s="185">
        <f t="shared" si="10"/>
        <v>0.40965977054306973</v>
      </c>
    </row>
    <row r="12" spans="1:220" s="71" customFormat="1">
      <c r="A12" s="90">
        <v>2012</v>
      </c>
      <c r="B12" s="353">
        <v>21</v>
      </c>
      <c r="C12" s="353">
        <v>7.85</v>
      </c>
      <c r="D12" s="108">
        <f t="shared" si="11"/>
        <v>28.85</v>
      </c>
      <c r="E12" s="109">
        <f t="shared" si="12"/>
        <v>11</v>
      </c>
      <c r="F12" s="109">
        <f t="shared" si="13"/>
        <v>8</v>
      </c>
      <c r="G12" s="113"/>
      <c r="H12" s="113"/>
      <c r="I12" s="353">
        <v>188</v>
      </c>
      <c r="J12" s="353">
        <v>34</v>
      </c>
      <c r="K12" s="108">
        <f>I12+J12</f>
        <v>222</v>
      </c>
      <c r="L12" s="353">
        <v>16.439999999999998</v>
      </c>
      <c r="M12" s="109">
        <f>I12+L12</f>
        <v>204.44</v>
      </c>
      <c r="N12" s="353">
        <v>22</v>
      </c>
      <c r="O12" s="353">
        <v>239.89000000000001</v>
      </c>
      <c r="P12" s="183">
        <f t="shared" si="9"/>
        <v>0.85222393597065316</v>
      </c>
      <c r="Q12" s="353">
        <v>124</v>
      </c>
      <c r="R12" s="353">
        <v>4</v>
      </c>
      <c r="S12" s="112">
        <v>5940110</v>
      </c>
      <c r="T12" s="110">
        <f t="shared" si="14"/>
        <v>5315905</v>
      </c>
      <c r="U12" s="112">
        <v>3940010</v>
      </c>
      <c r="V12" s="112">
        <v>1375895</v>
      </c>
      <c r="W12" s="185">
        <f t="shared" si="10"/>
        <v>0.25882610769003583</v>
      </c>
    </row>
    <row r="13" spans="1:220" s="71" customFormat="1">
      <c r="A13" s="90">
        <v>2011</v>
      </c>
      <c r="B13" s="353">
        <v>21</v>
      </c>
      <c r="C13" s="353">
        <v>5.46</v>
      </c>
      <c r="D13" s="108">
        <f t="shared" si="11"/>
        <v>26.46</v>
      </c>
      <c r="E13" s="109">
        <f t="shared" si="12"/>
        <v>21</v>
      </c>
      <c r="F13" s="109">
        <f t="shared" si="13"/>
        <v>17</v>
      </c>
      <c r="G13" s="113"/>
      <c r="H13" s="113"/>
      <c r="I13" s="353">
        <v>202</v>
      </c>
      <c r="J13" s="353">
        <v>43</v>
      </c>
      <c r="K13" s="108">
        <f t="shared" ref="K13:K22" si="15">SUM(I13:J13)</f>
        <v>245</v>
      </c>
      <c r="L13" s="353">
        <v>20.399999999999999</v>
      </c>
      <c r="M13" s="109">
        <f t="shared" ref="M13:M22" si="16">(I13+L13)</f>
        <v>222.4</v>
      </c>
      <c r="N13" s="353">
        <v>37</v>
      </c>
      <c r="O13" s="353">
        <v>437.45000000000005</v>
      </c>
      <c r="P13" s="183">
        <f t="shared" si="9"/>
        <v>0.5084009601097268</v>
      </c>
      <c r="Q13" s="353">
        <v>94</v>
      </c>
      <c r="R13" s="353">
        <v>1</v>
      </c>
      <c r="S13" s="112">
        <v>5656090</v>
      </c>
      <c r="T13" s="110">
        <f t="shared" si="14"/>
        <v>5480692</v>
      </c>
      <c r="U13" s="112">
        <v>4018964</v>
      </c>
      <c r="V13" s="112">
        <v>1461728</v>
      </c>
      <c r="W13" s="185">
        <f t="shared" si="10"/>
        <v>0.26670500732389268</v>
      </c>
    </row>
    <row r="14" spans="1:220" s="71" customFormat="1">
      <c r="A14" s="90">
        <v>2010</v>
      </c>
      <c r="B14" s="353">
        <v>20</v>
      </c>
      <c r="C14" s="353">
        <v>4.8</v>
      </c>
      <c r="D14" s="108">
        <f t="shared" si="11"/>
        <v>24.8</v>
      </c>
      <c r="E14" s="109">
        <f t="shared" si="12"/>
        <v>27</v>
      </c>
      <c r="F14" s="109">
        <f t="shared" si="13"/>
        <v>22</v>
      </c>
      <c r="G14" s="113"/>
      <c r="H14" s="113"/>
      <c r="I14" s="353">
        <v>205</v>
      </c>
      <c r="J14" s="353">
        <v>67</v>
      </c>
      <c r="K14" s="108">
        <f t="shared" si="15"/>
        <v>272</v>
      </c>
      <c r="L14" s="353">
        <v>44.89</v>
      </c>
      <c r="M14" s="109">
        <f t="shared" si="16"/>
        <v>249.89</v>
      </c>
      <c r="N14" s="353">
        <v>33</v>
      </c>
      <c r="O14" s="353">
        <v>543.8900000000001</v>
      </c>
      <c r="P14" s="183">
        <f t="shared" si="9"/>
        <v>0.4594495210428578</v>
      </c>
      <c r="Q14" s="353">
        <v>112</v>
      </c>
      <c r="R14" s="353">
        <v>2</v>
      </c>
      <c r="S14" s="112">
        <v>5766855.3100000005</v>
      </c>
      <c r="T14" s="110">
        <f t="shared" si="14"/>
        <v>5281757.49</v>
      </c>
      <c r="U14" s="112">
        <v>4045102.49</v>
      </c>
      <c r="V14" s="112">
        <v>1236655</v>
      </c>
      <c r="W14" s="185">
        <f t="shared" si="10"/>
        <v>0.23413702774907219</v>
      </c>
    </row>
    <row r="15" spans="1:220" s="71" customFormat="1">
      <c r="A15" s="90">
        <v>2009</v>
      </c>
      <c r="B15" s="353">
        <v>21</v>
      </c>
      <c r="C15" s="353">
        <v>3.23</v>
      </c>
      <c r="D15" s="108">
        <f t="shared" si="11"/>
        <v>24.23</v>
      </c>
      <c r="E15" s="109">
        <f t="shared" si="12"/>
        <v>27</v>
      </c>
      <c r="F15" s="109">
        <f t="shared" si="13"/>
        <v>23</v>
      </c>
      <c r="G15" s="113"/>
      <c r="H15" s="113"/>
      <c r="I15" s="353">
        <v>177</v>
      </c>
      <c r="J15" s="353">
        <v>74</v>
      </c>
      <c r="K15" s="108">
        <f t="shared" si="15"/>
        <v>251</v>
      </c>
      <c r="L15" s="353">
        <v>49.58</v>
      </c>
      <c r="M15" s="109">
        <f t="shared" si="16"/>
        <v>226.57999999999998</v>
      </c>
      <c r="N15" s="353">
        <v>40</v>
      </c>
      <c r="O15" s="353">
        <v>559.54</v>
      </c>
      <c r="P15" s="183">
        <f t="shared" si="9"/>
        <v>0.40493977195553488</v>
      </c>
      <c r="Q15" s="353">
        <v>104</v>
      </c>
      <c r="R15" s="353">
        <v>6</v>
      </c>
      <c r="S15" s="112">
        <v>5082873.2</v>
      </c>
      <c r="T15" s="110">
        <f t="shared" si="14"/>
        <v>5007712.83</v>
      </c>
      <c r="U15" s="112">
        <v>3993462.83</v>
      </c>
      <c r="V15" s="112">
        <v>1014250</v>
      </c>
      <c r="W15" s="185">
        <f t="shared" si="10"/>
        <v>0.20253757242705148</v>
      </c>
    </row>
    <row r="16" spans="1:220" s="71" customFormat="1">
      <c r="A16" s="90">
        <v>2008</v>
      </c>
      <c r="B16" s="353">
        <v>18</v>
      </c>
      <c r="C16" s="353">
        <v>3.59</v>
      </c>
      <c r="D16" s="108">
        <f t="shared" si="11"/>
        <v>21.59</v>
      </c>
      <c r="E16" s="109">
        <f t="shared" si="12"/>
        <v>29</v>
      </c>
      <c r="F16" s="109">
        <f t="shared" si="13"/>
        <v>24</v>
      </c>
      <c r="G16" s="113"/>
      <c r="H16" s="113"/>
      <c r="I16" s="353">
        <v>185</v>
      </c>
      <c r="J16" s="353">
        <v>63</v>
      </c>
      <c r="K16" s="108">
        <f t="shared" si="15"/>
        <v>248</v>
      </c>
      <c r="L16" s="353">
        <v>42.21</v>
      </c>
      <c r="M16" s="109">
        <f t="shared" si="16"/>
        <v>227.21</v>
      </c>
      <c r="N16" s="353">
        <v>41</v>
      </c>
      <c r="O16" s="353">
        <v>525</v>
      </c>
      <c r="P16" s="183">
        <f t="shared" si="9"/>
        <v>0.43278095238095238</v>
      </c>
      <c r="Q16" s="353">
        <v>80</v>
      </c>
      <c r="R16" s="353">
        <v>4</v>
      </c>
      <c r="S16" s="112">
        <v>4366123.1100000003</v>
      </c>
      <c r="T16" s="110">
        <f t="shared" si="14"/>
        <v>5377156.5099999998</v>
      </c>
      <c r="U16" s="112">
        <v>3317606.51</v>
      </c>
      <c r="V16" s="112">
        <v>2059550</v>
      </c>
      <c r="W16" s="185">
        <f t="shared" si="10"/>
        <v>0.38301842175689249</v>
      </c>
    </row>
    <row r="17" spans="1:23" s="71" customFormat="1">
      <c r="A17" s="90">
        <v>2007</v>
      </c>
      <c r="B17" s="353">
        <v>19</v>
      </c>
      <c r="C17" s="353">
        <v>6.52</v>
      </c>
      <c r="D17" s="194">
        <f t="shared" si="11"/>
        <v>25.52</v>
      </c>
      <c r="E17" s="109">
        <f t="shared" si="12"/>
        <v>13</v>
      </c>
      <c r="F17" s="109">
        <f t="shared" si="13"/>
        <v>10</v>
      </c>
      <c r="G17" s="113"/>
      <c r="H17" s="113"/>
      <c r="I17" s="353">
        <v>181</v>
      </c>
      <c r="J17" s="353">
        <v>66</v>
      </c>
      <c r="K17" s="194">
        <f t="shared" si="15"/>
        <v>247</v>
      </c>
      <c r="L17" s="353">
        <v>44.22</v>
      </c>
      <c r="M17" s="109">
        <f t="shared" si="16"/>
        <v>225.22</v>
      </c>
      <c r="N17" s="353">
        <v>40</v>
      </c>
      <c r="O17" s="353">
        <v>254</v>
      </c>
      <c r="P17" s="183">
        <f t="shared" si="9"/>
        <v>0.88669291338582679</v>
      </c>
      <c r="Q17" s="353">
        <v>110</v>
      </c>
      <c r="R17" s="353">
        <v>1</v>
      </c>
      <c r="S17" s="250">
        <v>4287162</v>
      </c>
      <c r="T17" s="110">
        <f t="shared" si="14"/>
        <v>4868244</v>
      </c>
      <c r="U17" s="192">
        <v>3224143</v>
      </c>
      <c r="V17" s="250">
        <v>1644101</v>
      </c>
      <c r="W17" s="185">
        <f t="shared" si="10"/>
        <v>0.33771951446969378</v>
      </c>
    </row>
    <row r="18" spans="1:23" s="71" customFormat="1">
      <c r="A18" s="90">
        <v>2006</v>
      </c>
      <c r="B18" s="353">
        <v>18</v>
      </c>
      <c r="C18" s="353">
        <v>7</v>
      </c>
      <c r="D18" s="194">
        <f t="shared" si="11"/>
        <v>25</v>
      </c>
      <c r="E18" s="109">
        <f t="shared" si="12"/>
        <v>14</v>
      </c>
      <c r="F18" s="109">
        <f t="shared" si="13"/>
        <v>10</v>
      </c>
      <c r="G18" s="113"/>
      <c r="H18" s="113"/>
      <c r="I18" s="353">
        <v>175</v>
      </c>
      <c r="J18" s="353">
        <v>67</v>
      </c>
      <c r="K18" s="194">
        <f t="shared" si="15"/>
        <v>242</v>
      </c>
      <c r="L18" s="353">
        <v>44</v>
      </c>
      <c r="M18" s="109">
        <f t="shared" si="16"/>
        <v>219</v>
      </c>
      <c r="N18" s="353">
        <v>31</v>
      </c>
      <c r="O18" s="353">
        <v>251</v>
      </c>
      <c r="P18" s="183">
        <f t="shared" si="9"/>
        <v>0.87250996015936255</v>
      </c>
      <c r="Q18" s="353">
        <v>107</v>
      </c>
      <c r="R18" s="353">
        <v>3</v>
      </c>
      <c r="S18" s="192">
        <v>4390888</v>
      </c>
      <c r="T18" s="110">
        <f t="shared" si="14"/>
        <v>4473974</v>
      </c>
      <c r="U18" s="192">
        <v>3225900</v>
      </c>
      <c r="V18" s="192">
        <v>1248074</v>
      </c>
      <c r="W18" s="185">
        <f t="shared" si="10"/>
        <v>0.27896317680880578</v>
      </c>
    </row>
    <row r="19" spans="1:23" s="71" customFormat="1">
      <c r="A19" s="90">
        <v>2005</v>
      </c>
      <c r="B19" s="353">
        <v>17</v>
      </c>
      <c r="C19" s="353">
        <v>4.5</v>
      </c>
      <c r="D19" s="194">
        <f t="shared" si="11"/>
        <v>21.5</v>
      </c>
      <c r="E19" s="109">
        <f t="shared" si="12"/>
        <v>14</v>
      </c>
      <c r="F19" s="109">
        <f t="shared" si="13"/>
        <v>11</v>
      </c>
      <c r="G19" s="113"/>
      <c r="H19" s="113"/>
      <c r="I19" s="353">
        <v>165</v>
      </c>
      <c r="J19" s="353">
        <v>77</v>
      </c>
      <c r="K19" s="194">
        <f t="shared" si="15"/>
        <v>242</v>
      </c>
      <c r="L19" s="353">
        <v>52</v>
      </c>
      <c r="M19" s="109">
        <f t="shared" si="16"/>
        <v>217</v>
      </c>
      <c r="N19" s="353">
        <v>35</v>
      </c>
      <c r="O19" s="353">
        <v>246</v>
      </c>
      <c r="P19" s="183">
        <f t="shared" si="9"/>
        <v>0.88211382113821135</v>
      </c>
      <c r="Q19" s="353">
        <v>112</v>
      </c>
      <c r="R19" s="353">
        <v>2</v>
      </c>
      <c r="S19" s="192">
        <v>3940328</v>
      </c>
      <c r="T19" s="110">
        <f t="shared" si="14"/>
        <v>3728908</v>
      </c>
      <c r="U19" s="192">
        <v>2692979</v>
      </c>
      <c r="V19" s="192">
        <v>1035929</v>
      </c>
      <c r="W19" s="185">
        <f t="shared" si="10"/>
        <v>0.27781028655037882</v>
      </c>
    </row>
    <row r="20" spans="1:23" s="71" customFormat="1">
      <c r="A20" s="90">
        <v>2004</v>
      </c>
      <c r="B20" s="195">
        <v>20</v>
      </c>
      <c r="C20" s="195">
        <v>4</v>
      </c>
      <c r="D20" s="194">
        <f t="shared" si="11"/>
        <v>24</v>
      </c>
      <c r="E20" s="109">
        <f t="shared" si="12"/>
        <v>27</v>
      </c>
      <c r="F20" s="109">
        <f t="shared" si="13"/>
        <v>22</v>
      </c>
      <c r="G20" s="113"/>
      <c r="H20" s="113"/>
      <c r="I20" s="195">
        <v>190</v>
      </c>
      <c r="J20" s="195">
        <v>84</v>
      </c>
      <c r="K20" s="194">
        <f t="shared" si="15"/>
        <v>274</v>
      </c>
      <c r="L20" s="195">
        <v>56</v>
      </c>
      <c r="M20" s="109">
        <f t="shared" si="16"/>
        <v>246</v>
      </c>
      <c r="N20" s="195">
        <v>35</v>
      </c>
      <c r="O20" s="195">
        <v>535</v>
      </c>
      <c r="P20" s="183">
        <f t="shared" si="9"/>
        <v>0.45981308411214955</v>
      </c>
      <c r="Q20" s="195">
        <v>104</v>
      </c>
      <c r="R20" s="353">
        <v>4</v>
      </c>
      <c r="S20" s="192">
        <v>3789081</v>
      </c>
      <c r="T20" s="110">
        <f t="shared" si="14"/>
        <v>5083681</v>
      </c>
      <c r="U20" s="192">
        <v>2469395</v>
      </c>
      <c r="V20" s="192">
        <v>2614286</v>
      </c>
      <c r="W20" s="185">
        <f t="shared" si="10"/>
        <v>0.51425059912295834</v>
      </c>
    </row>
    <row r="21" spans="1:23" s="71" customFormat="1">
      <c r="A21" s="90">
        <v>2003</v>
      </c>
      <c r="B21" s="195">
        <v>19</v>
      </c>
      <c r="C21" s="195">
        <v>4</v>
      </c>
      <c r="D21" s="194">
        <f t="shared" si="11"/>
        <v>23</v>
      </c>
      <c r="E21" s="109">
        <f t="shared" si="12"/>
        <v>28</v>
      </c>
      <c r="F21" s="109">
        <f t="shared" si="13"/>
        <v>23</v>
      </c>
      <c r="G21" s="113"/>
      <c r="H21" s="113"/>
      <c r="I21" s="195">
        <v>179</v>
      </c>
      <c r="J21" s="195">
        <v>87</v>
      </c>
      <c r="K21" s="194">
        <f t="shared" si="15"/>
        <v>266</v>
      </c>
      <c r="L21" s="195">
        <v>58</v>
      </c>
      <c r="M21" s="109">
        <f t="shared" si="16"/>
        <v>237</v>
      </c>
      <c r="N21" s="195">
        <v>36</v>
      </c>
      <c r="O21" s="195">
        <v>534</v>
      </c>
      <c r="P21" s="183">
        <f t="shared" si="9"/>
        <v>0.4438202247191011</v>
      </c>
      <c r="Q21" s="195">
        <v>100</v>
      </c>
      <c r="R21" s="353">
        <v>2</v>
      </c>
      <c r="S21" s="192">
        <v>3469634</v>
      </c>
      <c r="T21" s="110">
        <f t="shared" si="14"/>
        <v>3930044</v>
      </c>
      <c r="U21" s="192">
        <v>2494160</v>
      </c>
      <c r="V21" s="192">
        <v>1435884</v>
      </c>
      <c r="W21" s="185">
        <f t="shared" si="10"/>
        <v>0.36536079494275381</v>
      </c>
    </row>
    <row r="22" spans="1:23" s="71" customFormat="1">
      <c r="A22" s="90">
        <v>2002</v>
      </c>
      <c r="B22" s="195">
        <v>20</v>
      </c>
      <c r="C22" s="195">
        <v>3</v>
      </c>
      <c r="D22" s="194">
        <f t="shared" si="11"/>
        <v>23</v>
      </c>
      <c r="E22" s="109">
        <f t="shared" si="12"/>
        <v>24</v>
      </c>
      <c r="F22" s="109">
        <f t="shared" si="13"/>
        <v>21</v>
      </c>
      <c r="G22" s="113"/>
      <c r="H22" s="113"/>
      <c r="I22" s="195">
        <v>149</v>
      </c>
      <c r="J22" s="195">
        <v>105</v>
      </c>
      <c r="K22" s="194">
        <f t="shared" si="15"/>
        <v>254</v>
      </c>
      <c r="L22" s="195">
        <f>ROUND(70.35, 0)</f>
        <v>70</v>
      </c>
      <c r="M22" s="109">
        <f t="shared" si="16"/>
        <v>219</v>
      </c>
      <c r="N22" s="195">
        <v>33</v>
      </c>
      <c r="O22" s="195">
        <f>ROUND(483, 0)</f>
        <v>483</v>
      </c>
      <c r="P22" s="183">
        <f t="shared" si="9"/>
        <v>0.453416149068323</v>
      </c>
      <c r="Q22" s="195">
        <v>137</v>
      </c>
      <c r="R22" s="353">
        <v>3</v>
      </c>
      <c r="S22" s="192">
        <v>3091266</v>
      </c>
      <c r="T22" s="110">
        <f t="shared" si="14"/>
        <v>3304094</v>
      </c>
      <c r="U22" s="192">
        <v>2454649</v>
      </c>
      <c r="V22" s="192">
        <v>849445</v>
      </c>
      <c r="W22" s="185">
        <f t="shared" si="10"/>
        <v>0.25708863004502897</v>
      </c>
    </row>
    <row r="23" spans="1:23" s="13" customFormat="1">
      <c r="G23" s="26"/>
      <c r="H23" s="26"/>
    </row>
    <row r="24" spans="1:23" s="14" customFormat="1">
      <c r="A24" s="14" t="s">
        <v>208</v>
      </c>
      <c r="G24"/>
      <c r="H24"/>
    </row>
    <row r="25" spans="1:23" s="14" customFormat="1">
      <c r="G25"/>
      <c r="H25"/>
    </row>
    <row r="26" spans="1:23" s="14" customFormat="1">
      <c r="G26"/>
      <c r="H26"/>
    </row>
    <row r="27" spans="1:23" s="14" customFormat="1">
      <c r="G27"/>
      <c r="H27"/>
    </row>
    <row r="28" spans="1:23" s="14" customFormat="1">
      <c r="G28"/>
      <c r="H28"/>
    </row>
    <row r="29" spans="1:23" s="14" customFormat="1">
      <c r="G29"/>
      <c r="H29"/>
    </row>
    <row r="30" spans="1:23" s="14" customFormat="1">
      <c r="G30"/>
      <c r="H30"/>
    </row>
    <row r="31" spans="1:23" s="14" customFormat="1">
      <c r="G31"/>
      <c r="H31"/>
    </row>
    <row r="32" spans="1:23" s="14" customFormat="1">
      <c r="G32"/>
      <c r="H32"/>
    </row>
  </sheetData>
  <printOptions headings="1" gridLines="1"/>
  <pageMargins left="0.5" right="0.5" top="0.5" bottom="0.5" header="0" footer="0"/>
  <pageSetup paperSize="5" scale="65" orientation="landscape"/>
  <legacyDrawing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HL33"/>
  <sheetViews>
    <sheetView workbookViewId="0">
      <selection activeCell="I29" sqref="I29"/>
    </sheetView>
  </sheetViews>
  <sheetFormatPr defaultColWidth="8.85546875" defaultRowHeight="15"/>
  <cols>
    <col min="1" max="1" width="10.7109375" customWidth="1"/>
    <col min="2" max="2" width="10.28515625" bestFit="1" customWidth="1"/>
    <col min="3" max="3" width="8.5703125" bestFit="1" customWidth="1"/>
    <col min="4" max="4" width="9.42578125" bestFit="1" customWidth="1"/>
    <col min="5" max="5" width="12.42578125" bestFit="1" customWidth="1"/>
    <col min="6" max="6" width="11.5703125" bestFit="1" customWidth="1"/>
    <col min="7" max="8" width="12.140625" customWidth="1"/>
    <col min="9" max="9" width="9" bestFit="1" customWidth="1"/>
    <col min="10" max="11" width="12" bestFit="1" customWidth="1"/>
    <col min="12" max="12" width="12.42578125" bestFit="1" customWidth="1"/>
    <col min="13" max="13" width="12.42578125" customWidth="1"/>
    <col min="14" max="14" width="13.28515625" bestFit="1" customWidth="1"/>
    <col min="15" max="15" width="13.5703125" bestFit="1" customWidth="1"/>
    <col min="16" max="16" width="14.28515625" customWidth="1"/>
    <col min="17" max="17" width="11.28515625" customWidth="1"/>
    <col min="18" max="18" width="9.140625" bestFit="1" customWidth="1"/>
    <col min="19" max="19" width="12" bestFit="1" customWidth="1"/>
    <col min="20" max="20" width="11.42578125" customWidth="1"/>
    <col min="21" max="21" width="11.7109375" bestFit="1" customWidth="1"/>
    <col min="22" max="22" width="11.28515625" bestFit="1" customWidth="1"/>
    <col min="23" max="23" width="13" bestFit="1" customWidth="1"/>
  </cols>
  <sheetData>
    <row r="1" spans="1:220" s="8" customFormat="1" ht="18.75">
      <c r="A1" s="1" t="s">
        <v>75</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16" customFormat="1">
      <c r="A3" s="417">
        <v>2021</v>
      </c>
      <c r="B3" s="412">
        <v>14</v>
      </c>
      <c r="C3" s="412">
        <v>4.75</v>
      </c>
      <c r="D3" s="429">
        <f t="shared" ref="D3" si="0">SUM(B3:C3)</f>
        <v>18.75</v>
      </c>
      <c r="E3" s="429">
        <f t="shared" ref="E3" si="1">ROUND((O3/B3), 0)</f>
        <v>28</v>
      </c>
      <c r="F3" s="429">
        <f t="shared" ref="F3" si="2">ROUND((O3/D3), 0)</f>
        <v>21</v>
      </c>
      <c r="G3" s="412">
        <v>14</v>
      </c>
      <c r="H3" s="412">
        <v>4.5</v>
      </c>
      <c r="I3" s="412">
        <v>125</v>
      </c>
      <c r="J3" s="412">
        <v>471</v>
      </c>
      <c r="K3" s="429">
        <f t="shared" ref="K3" si="3">SUM(I3:J3)</f>
        <v>596</v>
      </c>
      <c r="L3" s="412">
        <v>260.67</v>
      </c>
      <c r="M3" s="429">
        <f>(I3+L3)</f>
        <v>385.67</v>
      </c>
      <c r="N3" s="412">
        <v>237</v>
      </c>
      <c r="O3" s="412">
        <v>394.97</v>
      </c>
      <c r="P3" s="492">
        <f t="shared" ref="P3" si="4">M3/O3</f>
        <v>0.97645390789173858</v>
      </c>
      <c r="Q3" s="412">
        <v>247</v>
      </c>
      <c r="R3" s="412">
        <v>16</v>
      </c>
      <c r="S3" s="445">
        <v>1915463</v>
      </c>
      <c r="T3" s="431">
        <f t="shared" ref="T3" si="5">SUM(U3:V3)</f>
        <v>2009452</v>
      </c>
      <c r="U3" s="445">
        <v>2009452</v>
      </c>
      <c r="V3" s="445">
        <v>0</v>
      </c>
      <c r="W3" s="492">
        <f t="shared" ref="W3" si="6">V3/T3</f>
        <v>0</v>
      </c>
    </row>
    <row r="4" spans="1:220" s="416" customFormat="1">
      <c r="A4" s="417">
        <v>2020</v>
      </c>
      <c r="B4" s="412">
        <v>14</v>
      </c>
      <c r="C4" s="412">
        <v>5.25</v>
      </c>
      <c r="D4" s="429">
        <f>SUM(B4:C4)</f>
        <v>19.25</v>
      </c>
      <c r="E4" s="429">
        <f>ROUND((O4/B4), 0)</f>
        <v>30</v>
      </c>
      <c r="F4" s="429">
        <f>ROUND((O4/D4), 0)</f>
        <v>22</v>
      </c>
      <c r="G4" s="412">
        <v>14</v>
      </c>
      <c r="H4" s="412">
        <v>4.25</v>
      </c>
      <c r="I4" s="412">
        <v>139</v>
      </c>
      <c r="J4" s="412">
        <v>476</v>
      </c>
      <c r="K4" s="429">
        <f t="shared" ref="K4" si="7">SUM(I4:J4)</f>
        <v>615</v>
      </c>
      <c r="L4" s="412">
        <v>265.89</v>
      </c>
      <c r="M4" s="429">
        <f>(I4+L4)</f>
        <v>404.89</v>
      </c>
      <c r="N4" s="412">
        <v>214</v>
      </c>
      <c r="O4" s="412">
        <v>417.89</v>
      </c>
      <c r="P4" s="492">
        <f t="shared" ref="P4" si="8">M4/O4</f>
        <v>0.96889133504032166</v>
      </c>
      <c r="Q4" s="412">
        <v>171</v>
      </c>
      <c r="R4" s="412">
        <v>14</v>
      </c>
      <c r="S4" s="445">
        <v>2146089.4500000002</v>
      </c>
      <c r="T4" s="431">
        <f>SUM(U4:V4)</f>
        <v>2013939.0999999999</v>
      </c>
      <c r="U4" s="445">
        <v>2013939.0999999999</v>
      </c>
      <c r="V4" s="445">
        <v>0</v>
      </c>
      <c r="W4" s="492">
        <f t="shared" ref="W4" si="9">V4/T4</f>
        <v>0</v>
      </c>
    </row>
    <row r="5" spans="1:220" s="416" customFormat="1">
      <c r="A5" s="417">
        <v>2019</v>
      </c>
      <c r="B5" s="560">
        <v>13</v>
      </c>
      <c r="C5" s="560">
        <v>7</v>
      </c>
      <c r="D5" s="429">
        <f>SUM(B5:C5)</f>
        <v>20</v>
      </c>
      <c r="E5" s="429">
        <f>ROUND((O5/B5), 0)</f>
        <v>31</v>
      </c>
      <c r="F5" s="429">
        <f>ROUND((O5/D5), 0)</f>
        <v>20</v>
      </c>
      <c r="G5" s="560">
        <v>13</v>
      </c>
      <c r="H5" s="560">
        <v>6.75</v>
      </c>
      <c r="I5" s="560">
        <v>129</v>
      </c>
      <c r="J5" s="560">
        <v>453</v>
      </c>
      <c r="K5" s="429">
        <f t="shared" ref="K5" si="10">SUM(I5:J5)</f>
        <v>582</v>
      </c>
      <c r="L5" s="560">
        <v>255.22</v>
      </c>
      <c r="M5" s="429">
        <f>(I5+L5)</f>
        <v>384.22</v>
      </c>
      <c r="N5" s="560">
        <v>207</v>
      </c>
      <c r="O5" s="560">
        <v>400</v>
      </c>
      <c r="P5" s="492">
        <f t="shared" ref="P5" si="11">M5/O5</f>
        <v>0.96055000000000001</v>
      </c>
      <c r="Q5" s="560">
        <v>212</v>
      </c>
      <c r="R5" s="560">
        <v>49</v>
      </c>
      <c r="S5" s="561">
        <v>1940954</v>
      </c>
      <c r="T5" s="431">
        <f>SUM(U5:V5)</f>
        <v>1869425.27</v>
      </c>
      <c r="U5" s="561">
        <v>1798174.25</v>
      </c>
      <c r="V5" s="561">
        <v>71251.02</v>
      </c>
      <c r="W5" s="492">
        <f t="shared" ref="W5" si="12">V5/T5</f>
        <v>3.8113863733103388E-2</v>
      </c>
    </row>
    <row r="6" spans="1:220" s="17" customFormat="1">
      <c r="A6" s="33">
        <v>2018</v>
      </c>
      <c r="B6" s="20">
        <v>12</v>
      </c>
      <c r="C6" s="20">
        <v>5.75</v>
      </c>
      <c r="D6" s="29">
        <f>SUM(B6:C6)</f>
        <v>17.75</v>
      </c>
      <c r="E6" s="172">
        <f>ROUND((O6/B6), 0)</f>
        <v>29</v>
      </c>
      <c r="F6" s="172">
        <f>ROUND((O6/D6), 0)</f>
        <v>20</v>
      </c>
      <c r="G6" s="20">
        <v>12</v>
      </c>
      <c r="H6" s="20">
        <v>5</v>
      </c>
      <c r="I6" s="20">
        <v>103</v>
      </c>
      <c r="J6" s="20">
        <v>416</v>
      </c>
      <c r="K6" s="29">
        <f t="shared" ref="K6" si="13">SUM(I6:J6)</f>
        <v>519</v>
      </c>
      <c r="L6" s="20">
        <v>231.22</v>
      </c>
      <c r="M6" s="172">
        <f>(I6+L6)</f>
        <v>334.22</v>
      </c>
      <c r="N6" s="20">
        <v>173</v>
      </c>
      <c r="O6" s="20">
        <v>347.99</v>
      </c>
      <c r="P6" s="183">
        <f>M6/O6</f>
        <v>0.96042989741084517</v>
      </c>
      <c r="Q6" s="20">
        <v>177</v>
      </c>
      <c r="R6" s="20">
        <v>18</v>
      </c>
      <c r="S6" s="24">
        <v>1844643</v>
      </c>
      <c r="T6" s="30">
        <f>SUM(U6:V6)</f>
        <v>2303638.3199999998</v>
      </c>
      <c r="U6" s="24">
        <v>1847847.44</v>
      </c>
      <c r="V6" s="24">
        <v>455790.88</v>
      </c>
      <c r="W6" s="185">
        <f>V6/T6</f>
        <v>0.19785696219882296</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13</v>
      </c>
      <c r="C7" s="20">
        <v>5.25</v>
      </c>
      <c r="D7" s="34">
        <f>SUM(B7:C7)</f>
        <v>18.25</v>
      </c>
      <c r="E7" s="34">
        <f>ROUND((O7/B7), 0)</f>
        <v>27</v>
      </c>
      <c r="F7" s="34">
        <f>ROUND((O7/D7), 0)</f>
        <v>19</v>
      </c>
      <c r="G7" s="20">
        <v>13</v>
      </c>
      <c r="H7" s="20">
        <v>4</v>
      </c>
      <c r="I7" s="20">
        <v>120</v>
      </c>
      <c r="J7" s="20">
        <v>380</v>
      </c>
      <c r="K7" s="34">
        <f>SUM(I7:J7)</f>
        <v>500</v>
      </c>
      <c r="L7" s="20">
        <v>210</v>
      </c>
      <c r="M7" s="36">
        <f>(I7+L7)</f>
        <v>330</v>
      </c>
      <c r="N7" s="344">
        <v>165</v>
      </c>
      <c r="O7" s="344">
        <v>350.67</v>
      </c>
      <c r="P7" s="183">
        <f t="shared" ref="P7:P22" si="14">M7/O7</f>
        <v>0.94105569338694495</v>
      </c>
      <c r="Q7" s="20">
        <v>134</v>
      </c>
      <c r="R7" s="20">
        <v>10</v>
      </c>
      <c r="S7" s="300">
        <v>1663145.3</v>
      </c>
      <c r="T7" s="35">
        <f>SUM(U7:V7)</f>
        <v>1680824.57</v>
      </c>
      <c r="U7" s="341">
        <v>1659379.33</v>
      </c>
      <c r="V7" s="24">
        <v>21445.24</v>
      </c>
      <c r="W7" s="185">
        <f t="shared" ref="W7:W22" si="15">V7/T7</f>
        <v>1.275876161186768E-2</v>
      </c>
    </row>
    <row r="8" spans="1:220" s="65" customFormat="1">
      <c r="A8" s="95">
        <v>2016</v>
      </c>
      <c r="B8" s="63">
        <v>11</v>
      </c>
      <c r="C8" s="63">
        <v>4.5</v>
      </c>
      <c r="D8" s="81">
        <f>SUM(B8:C8)</f>
        <v>15.5</v>
      </c>
      <c r="E8" s="82">
        <f>ROUND((O8/B8), 0)</f>
        <v>28</v>
      </c>
      <c r="F8" s="82">
        <f>ROUND((O8/D8), 0)</f>
        <v>20</v>
      </c>
      <c r="G8" s="63">
        <v>11</v>
      </c>
      <c r="H8" s="63">
        <v>3.25</v>
      </c>
      <c r="I8" s="63">
        <v>89</v>
      </c>
      <c r="J8" s="63">
        <v>357</v>
      </c>
      <c r="K8" s="81">
        <f>I8+J8</f>
        <v>446</v>
      </c>
      <c r="L8" s="63">
        <v>193.33</v>
      </c>
      <c r="M8" s="82">
        <f>I8+L8</f>
        <v>282.33000000000004</v>
      </c>
      <c r="N8" s="63">
        <v>143</v>
      </c>
      <c r="O8" s="63">
        <v>309.67</v>
      </c>
      <c r="P8" s="183">
        <f t="shared" si="14"/>
        <v>0.9117124681112152</v>
      </c>
      <c r="Q8" s="63">
        <v>145</v>
      </c>
      <c r="R8" s="63">
        <v>10</v>
      </c>
      <c r="S8" s="64">
        <v>1697055</v>
      </c>
      <c r="T8" s="110">
        <f>SUM(U8:V8)</f>
        <v>1685279</v>
      </c>
      <c r="U8" s="64">
        <v>1632466</v>
      </c>
      <c r="V8" s="64">
        <v>52813</v>
      </c>
      <c r="W8" s="185">
        <f t="shared" si="15"/>
        <v>3.1337837829819276E-2</v>
      </c>
    </row>
    <row r="9" spans="1:220" s="105" customFormat="1">
      <c r="A9" s="267">
        <v>2015</v>
      </c>
      <c r="B9" s="91">
        <v>12</v>
      </c>
      <c r="C9" s="91">
        <v>2.25</v>
      </c>
      <c r="D9" s="81">
        <v>14.25</v>
      </c>
      <c r="E9" s="81">
        <v>21.5</v>
      </c>
      <c r="F9" s="81">
        <v>18.100000000000001</v>
      </c>
      <c r="G9" s="111"/>
      <c r="H9" s="111"/>
      <c r="I9" s="91">
        <v>64</v>
      </c>
      <c r="J9" s="91">
        <v>309</v>
      </c>
      <c r="K9" s="81">
        <v>373</v>
      </c>
      <c r="L9" s="91">
        <v>167</v>
      </c>
      <c r="M9" s="81">
        <v>231</v>
      </c>
      <c r="N9" s="91">
        <v>114</v>
      </c>
      <c r="O9" s="91">
        <v>258</v>
      </c>
      <c r="P9" s="183">
        <f t="shared" si="14"/>
        <v>0.89534883720930236</v>
      </c>
      <c r="Q9" s="91">
        <v>135</v>
      </c>
      <c r="R9" s="91">
        <v>2</v>
      </c>
      <c r="S9" s="102">
        <v>1707073</v>
      </c>
      <c r="T9" s="103">
        <v>1671798</v>
      </c>
      <c r="U9" s="102">
        <v>1602818</v>
      </c>
      <c r="V9" s="102">
        <v>68980</v>
      </c>
      <c r="W9" s="185">
        <f t="shared" si="15"/>
        <v>4.1260965738683743E-2</v>
      </c>
    </row>
    <row r="10" spans="1:220" s="105" customFormat="1">
      <c r="A10" s="90">
        <v>2014</v>
      </c>
      <c r="B10" s="91">
        <v>12</v>
      </c>
      <c r="C10" s="91">
        <v>2.75</v>
      </c>
      <c r="D10" s="81">
        <f t="shared" ref="D10:D22" si="16">SUM(B10:C10)</f>
        <v>14.75</v>
      </c>
      <c r="E10" s="82">
        <f t="shared" ref="E10:E22" si="17">ROUND((O10/B10), 0)</f>
        <v>22</v>
      </c>
      <c r="F10" s="82">
        <f t="shared" ref="F10:F22" si="18">ROUND((O10/D10), 0)</f>
        <v>18</v>
      </c>
      <c r="G10" s="111"/>
      <c r="H10" s="111"/>
      <c r="I10" s="91">
        <v>67</v>
      </c>
      <c r="J10" s="91">
        <v>313</v>
      </c>
      <c r="K10" s="81">
        <f>I10+J10</f>
        <v>380</v>
      </c>
      <c r="L10" s="91">
        <v>170.36699999999999</v>
      </c>
      <c r="M10" s="82">
        <f>I10+L10</f>
        <v>237.36699999999999</v>
      </c>
      <c r="N10" s="91">
        <v>107</v>
      </c>
      <c r="O10" s="91">
        <v>268</v>
      </c>
      <c r="P10" s="183">
        <f t="shared" si="14"/>
        <v>0.88569776119402976</v>
      </c>
      <c r="Q10" s="91">
        <v>152</v>
      </c>
      <c r="R10" s="91">
        <v>10</v>
      </c>
      <c r="S10" s="92">
        <v>1815300</v>
      </c>
      <c r="T10" s="85">
        <f t="shared" ref="T10:T22" si="19">SUM(U10:V10)</f>
        <v>1754208</v>
      </c>
      <c r="U10" s="102">
        <v>1546882</v>
      </c>
      <c r="V10" s="92">
        <v>207326</v>
      </c>
      <c r="W10" s="185">
        <f t="shared" si="15"/>
        <v>0.11818780897134205</v>
      </c>
    </row>
    <row r="11" spans="1:220" s="71" customFormat="1">
      <c r="A11" s="90">
        <v>2013</v>
      </c>
      <c r="B11" s="361">
        <v>12</v>
      </c>
      <c r="C11" s="361">
        <v>1.5</v>
      </c>
      <c r="D11" s="108">
        <f t="shared" si="16"/>
        <v>13.5</v>
      </c>
      <c r="E11" s="109">
        <f t="shared" si="17"/>
        <v>22</v>
      </c>
      <c r="F11" s="109">
        <f t="shared" si="18"/>
        <v>20</v>
      </c>
      <c r="G11" s="113"/>
      <c r="H11" s="113"/>
      <c r="I11" s="361">
        <v>68</v>
      </c>
      <c r="J11" s="361">
        <v>322</v>
      </c>
      <c r="K11" s="108">
        <f>I11+J11</f>
        <v>390</v>
      </c>
      <c r="L11" s="361">
        <v>172.33</v>
      </c>
      <c r="M11" s="109">
        <f>I11+L11</f>
        <v>240.33</v>
      </c>
      <c r="N11" s="361">
        <v>109</v>
      </c>
      <c r="O11" s="361">
        <v>263.64999999999998</v>
      </c>
      <c r="P11" s="183">
        <f t="shared" si="14"/>
        <v>0.91154940261710615</v>
      </c>
      <c r="Q11" s="361">
        <v>152</v>
      </c>
      <c r="R11" s="361">
        <v>3</v>
      </c>
      <c r="S11" s="112">
        <v>1959453</v>
      </c>
      <c r="T11" s="110">
        <f t="shared" si="19"/>
        <v>1589906</v>
      </c>
      <c r="U11" s="250">
        <v>1361525</v>
      </c>
      <c r="V11" s="112">
        <v>228381</v>
      </c>
      <c r="W11" s="185">
        <f t="shared" si="15"/>
        <v>0.14364434123778386</v>
      </c>
    </row>
    <row r="12" spans="1:220" s="71" customFormat="1">
      <c r="A12" s="90" t="s">
        <v>86</v>
      </c>
      <c r="B12" s="361">
        <v>15</v>
      </c>
      <c r="C12" s="361">
        <v>3</v>
      </c>
      <c r="D12" s="108">
        <f t="shared" si="16"/>
        <v>18</v>
      </c>
      <c r="E12" s="109">
        <f t="shared" si="17"/>
        <v>18</v>
      </c>
      <c r="F12" s="109">
        <f t="shared" si="18"/>
        <v>15</v>
      </c>
      <c r="G12" s="113"/>
      <c r="H12" s="113"/>
      <c r="I12" s="361">
        <v>73</v>
      </c>
      <c r="J12" s="361">
        <v>319</v>
      </c>
      <c r="K12" s="108">
        <f>I12+J12</f>
        <v>392</v>
      </c>
      <c r="L12" s="361">
        <v>172.3</v>
      </c>
      <c r="M12" s="109">
        <f>I12+L12</f>
        <v>245.3</v>
      </c>
      <c r="N12" s="361">
        <v>102</v>
      </c>
      <c r="O12" s="361">
        <v>268.3</v>
      </c>
      <c r="P12" s="183">
        <f t="shared" si="14"/>
        <v>0.91427506522549384</v>
      </c>
      <c r="Q12" s="361">
        <v>158</v>
      </c>
      <c r="R12" s="361">
        <v>2</v>
      </c>
      <c r="S12" s="112">
        <v>1884775</v>
      </c>
      <c r="T12" s="110">
        <f t="shared" si="19"/>
        <v>1469277</v>
      </c>
      <c r="U12" s="250">
        <v>1405050</v>
      </c>
      <c r="V12" s="112">
        <v>64227</v>
      </c>
      <c r="W12" s="185">
        <f t="shared" si="15"/>
        <v>4.3713336559409829E-2</v>
      </c>
    </row>
    <row r="13" spans="1:220" s="71" customFormat="1">
      <c r="A13" s="90" t="s">
        <v>81</v>
      </c>
      <c r="B13" s="361">
        <v>15</v>
      </c>
      <c r="C13" s="361">
        <v>0.5</v>
      </c>
      <c r="D13" s="108">
        <f t="shared" si="16"/>
        <v>15.5</v>
      </c>
      <c r="E13" s="109">
        <f t="shared" si="17"/>
        <v>19</v>
      </c>
      <c r="F13" s="109">
        <f t="shared" si="18"/>
        <v>19</v>
      </c>
      <c r="G13" s="113"/>
      <c r="H13" s="113"/>
      <c r="I13" s="361">
        <v>75</v>
      </c>
      <c r="J13" s="361">
        <v>347</v>
      </c>
      <c r="K13" s="108">
        <f t="shared" ref="K13:K22" si="20">SUM(I13:J13)</f>
        <v>422</v>
      </c>
      <c r="L13" s="361">
        <v>183.67</v>
      </c>
      <c r="M13" s="109">
        <f t="shared" ref="M13:M22" si="21">(I13+L13)</f>
        <v>258.66999999999996</v>
      </c>
      <c r="N13" s="361">
        <v>118</v>
      </c>
      <c r="O13" s="361">
        <v>287.33999999999997</v>
      </c>
      <c r="P13" s="183">
        <f t="shared" si="14"/>
        <v>0.90022273265121455</v>
      </c>
      <c r="Q13" s="361">
        <v>193</v>
      </c>
      <c r="R13" s="361">
        <v>2</v>
      </c>
      <c r="S13" s="112">
        <v>2000981</v>
      </c>
      <c r="T13" s="110">
        <f t="shared" si="19"/>
        <v>1343747</v>
      </c>
      <c r="U13" s="250">
        <v>1318041</v>
      </c>
      <c r="V13" s="112">
        <v>25706</v>
      </c>
      <c r="W13" s="185">
        <f t="shared" si="15"/>
        <v>1.9130089220664306E-2</v>
      </c>
    </row>
    <row r="14" spans="1:220" s="71" customFormat="1">
      <c r="A14" s="90" t="s">
        <v>82</v>
      </c>
      <c r="B14" s="361">
        <v>15</v>
      </c>
      <c r="C14" s="361">
        <v>0.75</v>
      </c>
      <c r="D14" s="108">
        <f t="shared" si="16"/>
        <v>15.75</v>
      </c>
      <c r="E14" s="109">
        <f t="shared" si="17"/>
        <v>23</v>
      </c>
      <c r="F14" s="109">
        <f t="shared" si="18"/>
        <v>22</v>
      </c>
      <c r="G14" s="113"/>
      <c r="H14" s="113"/>
      <c r="I14" s="361">
        <v>96</v>
      </c>
      <c r="J14" s="361">
        <v>405</v>
      </c>
      <c r="K14" s="108">
        <f t="shared" si="20"/>
        <v>501</v>
      </c>
      <c r="L14" s="361">
        <v>213.08</v>
      </c>
      <c r="M14" s="109">
        <f t="shared" si="21"/>
        <v>309.08000000000004</v>
      </c>
      <c r="N14" s="361">
        <v>123</v>
      </c>
      <c r="O14" s="361">
        <v>341.41</v>
      </c>
      <c r="P14" s="183">
        <f t="shared" si="14"/>
        <v>0.90530447262821834</v>
      </c>
      <c r="Q14" s="361">
        <v>222</v>
      </c>
      <c r="R14" s="361">
        <v>2</v>
      </c>
      <c r="S14" s="112">
        <v>2203638</v>
      </c>
      <c r="T14" s="110">
        <f t="shared" si="19"/>
        <v>1605234</v>
      </c>
      <c r="U14" s="112">
        <v>1577218</v>
      </c>
      <c r="V14" s="112">
        <v>28016</v>
      </c>
      <c r="W14" s="185">
        <f t="shared" si="15"/>
        <v>1.7452907177395942E-2</v>
      </c>
    </row>
    <row r="15" spans="1:220" s="71" customFormat="1">
      <c r="A15" s="90" t="s">
        <v>83</v>
      </c>
      <c r="B15" s="361">
        <v>15</v>
      </c>
      <c r="C15" s="361">
        <v>1.75</v>
      </c>
      <c r="D15" s="108">
        <f t="shared" si="16"/>
        <v>16.75</v>
      </c>
      <c r="E15" s="109">
        <f t="shared" si="17"/>
        <v>23</v>
      </c>
      <c r="F15" s="109">
        <f t="shared" si="18"/>
        <v>20</v>
      </c>
      <c r="G15" s="113"/>
      <c r="H15" s="113"/>
      <c r="I15" s="361">
        <v>72</v>
      </c>
      <c r="J15" s="361">
        <v>487</v>
      </c>
      <c r="K15" s="108">
        <f t="shared" si="20"/>
        <v>559</v>
      </c>
      <c r="L15" s="361">
        <v>251.33</v>
      </c>
      <c r="M15" s="109">
        <f t="shared" si="21"/>
        <v>323.33000000000004</v>
      </c>
      <c r="N15" s="361">
        <v>131</v>
      </c>
      <c r="O15" s="361">
        <v>343.33</v>
      </c>
      <c r="P15" s="183">
        <f t="shared" si="14"/>
        <v>0.94174700725249771</v>
      </c>
      <c r="Q15" s="361">
        <v>208</v>
      </c>
      <c r="R15" s="361">
        <v>1</v>
      </c>
      <c r="S15" s="112">
        <v>2306365</v>
      </c>
      <c r="T15" s="110">
        <f t="shared" si="19"/>
        <v>2040928</v>
      </c>
      <c r="U15" s="112">
        <v>1987143</v>
      </c>
      <c r="V15" s="112">
        <v>53785</v>
      </c>
      <c r="W15" s="185">
        <f t="shared" si="15"/>
        <v>2.6353207952460843E-2</v>
      </c>
    </row>
    <row r="16" spans="1:220" s="71" customFormat="1">
      <c r="A16" s="90" t="s">
        <v>84</v>
      </c>
      <c r="B16" s="361">
        <v>13</v>
      </c>
      <c r="C16" s="361">
        <v>3.5</v>
      </c>
      <c r="D16" s="108">
        <f t="shared" si="16"/>
        <v>16.5</v>
      </c>
      <c r="E16" s="109">
        <f t="shared" si="17"/>
        <v>26</v>
      </c>
      <c r="F16" s="109">
        <f t="shared" si="18"/>
        <v>21</v>
      </c>
      <c r="G16" s="113"/>
      <c r="H16" s="113"/>
      <c r="I16" s="361">
        <v>60</v>
      </c>
      <c r="J16" s="361">
        <v>521</v>
      </c>
      <c r="K16" s="108">
        <f t="shared" si="20"/>
        <v>581</v>
      </c>
      <c r="L16" s="361">
        <v>263.39999999999998</v>
      </c>
      <c r="M16" s="109">
        <f t="shared" si="21"/>
        <v>323.39999999999998</v>
      </c>
      <c r="N16" s="361">
        <v>126</v>
      </c>
      <c r="O16" s="361">
        <v>342</v>
      </c>
      <c r="P16" s="183">
        <f t="shared" si="14"/>
        <v>0.94561403508771924</v>
      </c>
      <c r="Q16" s="361">
        <v>192</v>
      </c>
      <c r="R16" s="361">
        <v>1</v>
      </c>
      <c r="S16" s="112">
        <v>2768880</v>
      </c>
      <c r="T16" s="110">
        <f t="shared" si="19"/>
        <v>2048806</v>
      </c>
      <c r="U16" s="112">
        <v>1999469</v>
      </c>
      <c r="V16" s="112">
        <v>49337</v>
      </c>
      <c r="W16" s="185">
        <f t="shared" si="15"/>
        <v>2.4080854897925913E-2</v>
      </c>
    </row>
    <row r="17" spans="1:23" s="71" customFormat="1">
      <c r="A17" s="90">
        <v>2007</v>
      </c>
      <c r="B17" s="361">
        <v>14</v>
      </c>
      <c r="C17" s="361">
        <v>3.25</v>
      </c>
      <c r="D17" s="194">
        <f t="shared" si="16"/>
        <v>17.25</v>
      </c>
      <c r="E17" s="109">
        <f t="shared" si="17"/>
        <v>24</v>
      </c>
      <c r="F17" s="109">
        <f t="shared" si="18"/>
        <v>19</v>
      </c>
      <c r="G17" s="113"/>
      <c r="H17" s="113"/>
      <c r="I17" s="361">
        <v>78</v>
      </c>
      <c r="J17" s="361">
        <v>489</v>
      </c>
      <c r="K17" s="194">
        <f t="shared" si="20"/>
        <v>567</v>
      </c>
      <c r="L17" s="361">
        <v>249</v>
      </c>
      <c r="M17" s="109">
        <f t="shared" si="21"/>
        <v>327</v>
      </c>
      <c r="N17" s="361">
        <v>108</v>
      </c>
      <c r="O17" s="361">
        <v>335</v>
      </c>
      <c r="P17" s="183">
        <f t="shared" si="14"/>
        <v>0.9761194029850746</v>
      </c>
      <c r="Q17" s="361">
        <v>169</v>
      </c>
      <c r="R17" s="361">
        <v>2</v>
      </c>
      <c r="S17" s="192">
        <v>2360814</v>
      </c>
      <c r="T17" s="110">
        <f t="shared" si="19"/>
        <v>2942519</v>
      </c>
      <c r="U17" s="192">
        <v>2062344</v>
      </c>
      <c r="V17" s="192">
        <v>880175</v>
      </c>
      <c r="W17" s="185">
        <f t="shared" si="15"/>
        <v>0.29912296233261365</v>
      </c>
    </row>
    <row r="18" spans="1:23" s="71" customFormat="1">
      <c r="A18" s="90">
        <v>2006</v>
      </c>
      <c r="B18" s="361">
        <v>14</v>
      </c>
      <c r="C18" s="361">
        <v>4</v>
      </c>
      <c r="D18" s="194">
        <f t="shared" si="16"/>
        <v>18</v>
      </c>
      <c r="E18" s="109">
        <f t="shared" si="17"/>
        <v>25</v>
      </c>
      <c r="F18" s="109">
        <f t="shared" si="18"/>
        <v>20</v>
      </c>
      <c r="G18" s="113"/>
      <c r="H18" s="113"/>
      <c r="I18" s="361">
        <v>98</v>
      </c>
      <c r="J18" s="361">
        <v>494</v>
      </c>
      <c r="K18" s="194">
        <f t="shared" si="20"/>
        <v>592</v>
      </c>
      <c r="L18" s="361">
        <v>243</v>
      </c>
      <c r="M18" s="109">
        <f t="shared" si="21"/>
        <v>341</v>
      </c>
      <c r="N18" s="361">
        <v>116</v>
      </c>
      <c r="O18" s="361">
        <v>355</v>
      </c>
      <c r="P18" s="183">
        <f t="shared" si="14"/>
        <v>0.96056338028169019</v>
      </c>
      <c r="Q18" s="361">
        <v>168</v>
      </c>
      <c r="R18" s="361">
        <v>2</v>
      </c>
      <c r="S18" s="192">
        <v>2529854</v>
      </c>
      <c r="T18" s="110">
        <f t="shared" si="19"/>
        <v>3488880</v>
      </c>
      <c r="U18" s="192">
        <v>2367277</v>
      </c>
      <c r="V18" s="192">
        <v>1121603</v>
      </c>
      <c r="W18" s="185">
        <f t="shared" si="15"/>
        <v>0.32147938593474124</v>
      </c>
    </row>
    <row r="19" spans="1:23" s="71" customFormat="1">
      <c r="A19" s="90">
        <v>2005</v>
      </c>
      <c r="B19" s="361">
        <v>15</v>
      </c>
      <c r="C19" s="361">
        <v>3.75</v>
      </c>
      <c r="D19" s="194">
        <f t="shared" si="16"/>
        <v>18.75</v>
      </c>
      <c r="E19" s="109">
        <f t="shared" si="17"/>
        <v>21</v>
      </c>
      <c r="F19" s="109">
        <f t="shared" si="18"/>
        <v>17</v>
      </c>
      <c r="G19" s="113"/>
      <c r="H19" s="113"/>
      <c r="I19" s="361">
        <v>84</v>
      </c>
      <c r="J19" s="361">
        <v>417</v>
      </c>
      <c r="K19" s="194">
        <f t="shared" si="20"/>
        <v>501</v>
      </c>
      <c r="L19" s="361">
        <v>213</v>
      </c>
      <c r="M19" s="109">
        <f t="shared" si="21"/>
        <v>297</v>
      </c>
      <c r="N19" s="361">
        <v>94</v>
      </c>
      <c r="O19" s="361">
        <v>313</v>
      </c>
      <c r="P19" s="183">
        <f t="shared" si="14"/>
        <v>0.94888178913738019</v>
      </c>
      <c r="Q19" s="361">
        <v>196</v>
      </c>
      <c r="R19" s="361">
        <v>4</v>
      </c>
      <c r="S19" s="192">
        <v>1651564</v>
      </c>
      <c r="T19" s="110">
        <f t="shared" si="19"/>
        <v>2318211</v>
      </c>
      <c r="U19" s="192">
        <v>1751723</v>
      </c>
      <c r="V19" s="192">
        <v>566488</v>
      </c>
      <c r="W19" s="185">
        <f t="shared" si="15"/>
        <v>0.24436429643375862</v>
      </c>
    </row>
    <row r="20" spans="1:23" s="71" customFormat="1">
      <c r="A20" s="90">
        <v>2004</v>
      </c>
      <c r="B20" s="195">
        <v>11</v>
      </c>
      <c r="C20" s="195">
        <v>6</v>
      </c>
      <c r="D20" s="194">
        <f t="shared" si="16"/>
        <v>17</v>
      </c>
      <c r="E20" s="109">
        <f t="shared" si="17"/>
        <v>30</v>
      </c>
      <c r="F20" s="109">
        <f t="shared" si="18"/>
        <v>19</v>
      </c>
      <c r="G20" s="113"/>
      <c r="H20" s="113"/>
      <c r="I20" s="195">
        <v>109</v>
      </c>
      <c r="J20" s="195">
        <v>410</v>
      </c>
      <c r="K20" s="194">
        <f t="shared" si="20"/>
        <v>519</v>
      </c>
      <c r="L20" s="195">
        <v>211</v>
      </c>
      <c r="M20" s="109">
        <f t="shared" si="21"/>
        <v>320</v>
      </c>
      <c r="N20" s="195">
        <v>115</v>
      </c>
      <c r="O20" s="195">
        <v>331</v>
      </c>
      <c r="P20" s="183">
        <f t="shared" si="14"/>
        <v>0.96676737160120851</v>
      </c>
      <c r="Q20" s="195">
        <v>117</v>
      </c>
      <c r="R20" s="361">
        <v>1</v>
      </c>
      <c r="S20" s="192">
        <v>1306448</v>
      </c>
      <c r="T20" s="110">
        <f t="shared" si="19"/>
        <v>2036649</v>
      </c>
      <c r="U20" s="192">
        <v>1372941</v>
      </c>
      <c r="V20" s="192">
        <v>663708</v>
      </c>
      <c r="W20" s="185">
        <f t="shared" si="15"/>
        <v>0.32588236853773034</v>
      </c>
    </row>
    <row r="21" spans="1:23" s="71" customFormat="1">
      <c r="A21" s="90">
        <v>2003</v>
      </c>
      <c r="B21" s="195">
        <v>10</v>
      </c>
      <c r="C21" s="195">
        <v>4</v>
      </c>
      <c r="D21" s="194">
        <f t="shared" si="16"/>
        <v>14</v>
      </c>
      <c r="E21" s="109">
        <f t="shared" si="17"/>
        <v>31</v>
      </c>
      <c r="F21" s="109">
        <f t="shared" si="18"/>
        <v>22</v>
      </c>
      <c r="G21" s="113"/>
      <c r="H21" s="113"/>
      <c r="I21" s="195">
        <v>122</v>
      </c>
      <c r="J21" s="195">
        <v>360</v>
      </c>
      <c r="K21" s="194">
        <f t="shared" si="20"/>
        <v>482</v>
      </c>
      <c r="L21" s="195">
        <v>179</v>
      </c>
      <c r="M21" s="109">
        <f t="shared" si="21"/>
        <v>301</v>
      </c>
      <c r="N21" s="195">
        <v>107</v>
      </c>
      <c r="O21" s="195">
        <v>310</v>
      </c>
      <c r="P21" s="183">
        <f t="shared" si="14"/>
        <v>0.97096774193548385</v>
      </c>
      <c r="Q21" s="195">
        <v>78</v>
      </c>
      <c r="R21" s="361">
        <v>0</v>
      </c>
      <c r="S21" s="192">
        <v>920224</v>
      </c>
      <c r="T21" s="110">
        <f t="shared" si="19"/>
        <v>1710789</v>
      </c>
      <c r="U21" s="192">
        <v>967123</v>
      </c>
      <c r="V21" s="192">
        <v>743666</v>
      </c>
      <c r="W21" s="185">
        <f t="shared" si="15"/>
        <v>0.43469182932553341</v>
      </c>
    </row>
    <row r="22" spans="1:23" s="71" customFormat="1">
      <c r="A22" s="90">
        <v>2002</v>
      </c>
      <c r="B22" s="195">
        <v>10</v>
      </c>
      <c r="C22" s="195">
        <v>2</v>
      </c>
      <c r="D22" s="194">
        <f t="shared" si="16"/>
        <v>12</v>
      </c>
      <c r="E22" s="109">
        <f t="shared" si="17"/>
        <v>17</v>
      </c>
      <c r="F22" s="109">
        <f t="shared" si="18"/>
        <v>14</v>
      </c>
      <c r="G22" s="113"/>
      <c r="H22" s="113"/>
      <c r="I22" s="195">
        <v>52</v>
      </c>
      <c r="J22" s="195">
        <v>219</v>
      </c>
      <c r="K22" s="194">
        <f t="shared" si="20"/>
        <v>271</v>
      </c>
      <c r="L22" s="195">
        <f>ROUND(104.3, 0)</f>
        <v>104</v>
      </c>
      <c r="M22" s="109">
        <f t="shared" si="21"/>
        <v>156</v>
      </c>
      <c r="N22" s="195">
        <v>57</v>
      </c>
      <c r="O22" s="195">
        <f>ROUND(165.4, 0)</f>
        <v>165</v>
      </c>
      <c r="P22" s="183">
        <f t="shared" si="14"/>
        <v>0.94545454545454544</v>
      </c>
      <c r="Q22" s="195">
        <v>76</v>
      </c>
      <c r="R22" s="361">
        <v>2</v>
      </c>
      <c r="S22" s="192">
        <v>1117579</v>
      </c>
      <c r="T22" s="110">
        <f t="shared" si="19"/>
        <v>1178258</v>
      </c>
      <c r="U22" s="192">
        <v>943819</v>
      </c>
      <c r="V22" s="192">
        <v>234439</v>
      </c>
      <c r="W22" s="185">
        <f t="shared" si="15"/>
        <v>0.19897085358215263</v>
      </c>
    </row>
    <row r="23" spans="1:23" s="71" customFormat="1">
      <c r="A23" s="654" t="s">
        <v>131</v>
      </c>
      <c r="B23" s="656"/>
      <c r="C23" s="656"/>
      <c r="D23" s="656"/>
      <c r="E23" s="656"/>
      <c r="F23" s="656"/>
      <c r="G23" s="656"/>
      <c r="H23" s="656"/>
      <c r="I23" s="656"/>
      <c r="J23" s="656"/>
      <c r="K23" s="656"/>
      <c r="L23" s="656"/>
      <c r="M23" s="656"/>
      <c r="N23" s="656"/>
      <c r="O23" s="656"/>
      <c r="P23" s="656"/>
      <c r="Q23" s="656"/>
      <c r="R23" s="656"/>
      <c r="S23" s="656"/>
      <c r="T23" s="656"/>
      <c r="U23" s="656"/>
      <c r="V23" s="656"/>
      <c r="W23" s="656"/>
    </row>
    <row r="24" spans="1:23" s="14" customFormat="1">
      <c r="A24" s="713" t="s">
        <v>198</v>
      </c>
      <c r="B24" s="713"/>
      <c r="C24" s="713"/>
      <c r="D24" s="713"/>
      <c r="E24" s="713"/>
      <c r="F24" s="713"/>
      <c r="G24" s="713"/>
      <c r="H24" s="713"/>
      <c r="I24" s="713"/>
      <c r="J24" s="713"/>
      <c r="K24" s="713"/>
      <c r="L24" s="713"/>
      <c r="M24" s="713"/>
      <c r="N24" s="713"/>
      <c r="O24" s="713"/>
      <c r="P24" s="713"/>
      <c r="Q24" s="713"/>
      <c r="R24" s="713"/>
      <c r="S24" s="713"/>
      <c r="T24" s="713"/>
      <c r="U24" s="713"/>
      <c r="V24" s="713"/>
      <c r="W24" s="713"/>
    </row>
    <row r="25" spans="1:23" s="14" customFormat="1" ht="33.75" customHeight="1">
      <c r="A25" s="714" t="s">
        <v>199</v>
      </c>
      <c r="B25" s="714"/>
      <c r="C25" s="714"/>
      <c r="D25" s="714"/>
      <c r="E25" s="714"/>
      <c r="F25" s="714"/>
      <c r="G25" s="714"/>
      <c r="H25" s="714"/>
      <c r="I25" s="714"/>
      <c r="J25" s="714"/>
      <c r="K25" s="714"/>
      <c r="L25" s="714"/>
      <c r="M25" s="714"/>
      <c r="N25" s="714"/>
      <c r="O25" s="714"/>
      <c r="P25" s="714"/>
      <c r="Q25" s="714"/>
      <c r="R25" s="714"/>
      <c r="S25" s="714"/>
      <c r="T25" s="714"/>
      <c r="U25" s="714"/>
      <c r="V25" s="714"/>
    </row>
    <row r="26" spans="1:23" s="14" customFormat="1">
      <c r="A26" s="715" t="s">
        <v>211</v>
      </c>
      <c r="B26" s="716"/>
      <c r="C26" s="716"/>
      <c r="D26" s="716"/>
      <c r="E26" s="716"/>
      <c r="F26" s="716"/>
      <c r="G26" s="716"/>
      <c r="H26" s="716"/>
      <c r="I26" s="716"/>
      <c r="J26" s="716"/>
      <c r="K26" s="716"/>
      <c r="L26" s="716"/>
      <c r="M26" s="716"/>
      <c r="N26" s="716"/>
      <c r="O26" s="716"/>
      <c r="P26" s="716"/>
      <c r="Q26" s="716"/>
      <c r="R26" s="716"/>
      <c r="S26" s="716"/>
      <c r="T26" s="716"/>
      <c r="U26" s="716"/>
      <c r="V26" s="716"/>
      <c r="W26" s="717"/>
    </row>
    <row r="27" spans="1:23" s="13" customFormat="1" ht="33.75" customHeight="1">
      <c r="G27" s="26"/>
      <c r="H27" s="26"/>
    </row>
    <row r="28" spans="1:23" s="13" customFormat="1">
      <c r="G28" s="26"/>
      <c r="H28" s="26"/>
    </row>
    <row r="29" spans="1:23" s="14" customFormat="1">
      <c r="G29"/>
      <c r="H29"/>
    </row>
    <row r="30" spans="1:23" s="14" customFormat="1">
      <c r="G30"/>
      <c r="H30"/>
    </row>
    <row r="31" spans="1:23" s="14" customFormat="1">
      <c r="G31"/>
      <c r="H31"/>
    </row>
    <row r="32" spans="1:23" s="14" customFormat="1">
      <c r="G32"/>
      <c r="H32"/>
    </row>
    <row r="33" spans="7:8" s="14" customFormat="1">
      <c r="G33"/>
      <c r="H33"/>
    </row>
  </sheetData>
  <mergeCells count="4">
    <mergeCell ref="A23:W23"/>
    <mergeCell ref="A24:W24"/>
    <mergeCell ref="A25:V25"/>
    <mergeCell ref="A26:W26"/>
  </mergeCells>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HL34"/>
  <sheetViews>
    <sheetView workbookViewId="0">
      <selection activeCell="G26" sqref="G26"/>
    </sheetView>
  </sheetViews>
  <sheetFormatPr defaultColWidth="8.85546875" defaultRowHeight="15"/>
  <cols>
    <col min="1" max="1" width="10.285156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140625" bestFit="1" customWidth="1"/>
    <col min="22" max="22" width="10.85546875" bestFit="1" customWidth="1"/>
    <col min="23" max="23" width="12.85546875" bestFit="1" customWidth="1"/>
  </cols>
  <sheetData>
    <row r="1" spans="1:220" s="8" customFormat="1" ht="18.75">
      <c r="A1" s="1" t="s">
        <v>22</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39</v>
      </c>
      <c r="C3" s="409">
        <v>12</v>
      </c>
      <c r="D3" s="410">
        <f>SUM(B3:C3)</f>
        <v>51</v>
      </c>
      <c r="E3" s="411">
        <f t="shared" ref="E3" si="0">ROUND((O3/B3), 0)</f>
        <v>23</v>
      </c>
      <c r="F3" s="411">
        <f t="shared" ref="F3" si="1">ROUND((O3/D3), 0)</f>
        <v>17</v>
      </c>
      <c r="G3" s="409">
        <v>34</v>
      </c>
      <c r="H3" s="409">
        <v>10</v>
      </c>
      <c r="I3" s="502">
        <v>630</v>
      </c>
      <c r="J3" s="502">
        <v>136</v>
      </c>
      <c r="K3" s="410">
        <v>766</v>
      </c>
      <c r="L3" s="503">
        <v>40.799999999999997</v>
      </c>
      <c r="M3" s="411">
        <v>670.8</v>
      </c>
      <c r="N3" s="394" t="s">
        <v>79</v>
      </c>
      <c r="O3" s="502">
        <v>881.8</v>
      </c>
      <c r="P3" s="413">
        <v>0.76100000000000001</v>
      </c>
      <c r="Q3" s="502">
        <f>18+262+91</f>
        <v>371</v>
      </c>
      <c r="R3" s="502">
        <f>35+4+12</f>
        <v>51</v>
      </c>
      <c r="S3" s="414">
        <v>14982131</v>
      </c>
      <c r="T3" s="415">
        <v>21379184</v>
      </c>
      <c r="U3" s="414">
        <v>21097716</v>
      </c>
      <c r="V3" s="504">
        <v>281468</v>
      </c>
      <c r="W3" s="335">
        <f>V3/T3</f>
        <v>1.3165516513633074E-2</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37</v>
      </c>
      <c r="C4" s="409">
        <v>11</v>
      </c>
      <c r="D4" s="410">
        <f>SUM(B4:C4)</f>
        <v>48</v>
      </c>
      <c r="E4" s="411">
        <f>ROUND((O4/B4), 0)</f>
        <v>24</v>
      </c>
      <c r="F4" s="411">
        <f>ROUND((O4/D4), 0)</f>
        <v>18</v>
      </c>
      <c r="G4" s="409">
        <v>33</v>
      </c>
      <c r="H4" s="409">
        <v>10</v>
      </c>
      <c r="I4" s="502">
        <v>684</v>
      </c>
      <c r="J4" s="502">
        <v>134</v>
      </c>
      <c r="K4" s="410">
        <f t="shared" ref="K4" si="2">SUM(I4:J4)</f>
        <v>818</v>
      </c>
      <c r="L4" s="503">
        <v>40.200000000000003</v>
      </c>
      <c r="M4" s="411">
        <f>(I4+L4)</f>
        <v>724.2</v>
      </c>
      <c r="N4" s="394" t="s">
        <v>79</v>
      </c>
      <c r="O4" s="502">
        <v>878</v>
      </c>
      <c r="P4" s="413">
        <f t="shared" ref="P4" si="3">M4/O4</f>
        <v>0.82482915717539873</v>
      </c>
      <c r="Q4" s="502">
        <v>282</v>
      </c>
      <c r="R4" s="502">
        <v>50</v>
      </c>
      <c r="S4" s="414">
        <v>14306059</v>
      </c>
      <c r="T4" s="415">
        <v>16801921</v>
      </c>
      <c r="U4" s="414">
        <v>16696555</v>
      </c>
      <c r="V4" s="504">
        <v>105366</v>
      </c>
      <c r="W4" s="335">
        <f t="shared" ref="W4" si="4">V4/T4</f>
        <v>6.2710686474481102E-3</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33</v>
      </c>
      <c r="C5" s="409">
        <v>5</v>
      </c>
      <c r="D5" s="410">
        <f>SUM(B5:C5)</f>
        <v>38</v>
      </c>
      <c r="E5" s="411">
        <f>ROUND((O5/B5), 0)</f>
        <v>26</v>
      </c>
      <c r="F5" s="411">
        <f>ROUND((O5/D5), 0)</f>
        <v>22</v>
      </c>
      <c r="G5" s="409">
        <v>29</v>
      </c>
      <c r="H5" s="409">
        <v>4</v>
      </c>
      <c r="I5" s="502">
        <v>635</v>
      </c>
      <c r="J5" s="502">
        <v>113</v>
      </c>
      <c r="K5" s="410">
        <f>SUM(I5:J5)</f>
        <v>748</v>
      </c>
      <c r="L5" s="503">
        <f>J5/3</f>
        <v>37.666666666666664</v>
      </c>
      <c r="M5" s="411">
        <f>(I5+L5)</f>
        <v>672.66666666666663</v>
      </c>
      <c r="N5" s="394" t="s">
        <v>79</v>
      </c>
      <c r="O5" s="502">
        <f>(120/3)+814</f>
        <v>854</v>
      </c>
      <c r="P5" s="413">
        <f>M5/O5</f>
        <v>0.78766588602654175</v>
      </c>
      <c r="Q5" s="502">
        <v>233</v>
      </c>
      <c r="R5" s="502">
        <v>58</v>
      </c>
      <c r="S5" s="414">
        <v>11829132.039999999</v>
      </c>
      <c r="T5" s="415">
        <v>14365455.27</v>
      </c>
      <c r="U5" s="414">
        <v>13272900</v>
      </c>
      <c r="V5" s="504">
        <v>1092555.2699999996</v>
      </c>
      <c r="W5" s="335">
        <f>V5/T5</f>
        <v>7.605434352516692E-2</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28</v>
      </c>
      <c r="C6" s="20">
        <v>7.67</v>
      </c>
      <c r="D6" s="29">
        <f>SUM(B6:C6)</f>
        <v>35.67</v>
      </c>
      <c r="E6" s="172">
        <f>ROUND((O6/B6), 0)</f>
        <v>25</v>
      </c>
      <c r="F6" s="172">
        <f>ROUND((O6/D6), 0)</f>
        <v>20</v>
      </c>
      <c r="G6" s="20">
        <v>24</v>
      </c>
      <c r="H6" s="20">
        <v>5.67</v>
      </c>
      <c r="I6" s="20">
        <v>515</v>
      </c>
      <c r="J6" s="20">
        <v>100</v>
      </c>
      <c r="K6" s="29">
        <f t="shared" ref="K6" si="5">SUM(I6:J6)</f>
        <v>615</v>
      </c>
      <c r="L6" s="20">
        <v>33.299999999999997</v>
      </c>
      <c r="M6" s="172">
        <f>(I6+L6)</f>
        <v>548.29999999999995</v>
      </c>
      <c r="N6" s="394" t="s">
        <v>79</v>
      </c>
      <c r="O6" s="20">
        <v>706.3</v>
      </c>
      <c r="P6" s="183">
        <f>M6/O6</f>
        <v>0.77629902307801213</v>
      </c>
      <c r="Q6" s="20">
        <v>242</v>
      </c>
      <c r="R6" s="20">
        <v>61</v>
      </c>
      <c r="S6" s="24">
        <v>10608798</v>
      </c>
      <c r="T6" s="30">
        <f>SUM(U6:V6)</f>
        <v>12304679</v>
      </c>
      <c r="U6" s="24">
        <v>11600654</v>
      </c>
      <c r="V6" s="24">
        <v>704025</v>
      </c>
      <c r="W6" s="185">
        <f>V6/T6</f>
        <v>5.7216039524476826E-2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26</v>
      </c>
      <c r="C7" s="20">
        <v>6</v>
      </c>
      <c r="D7" s="34">
        <f>SUM(B7:C7)</f>
        <v>32</v>
      </c>
      <c r="E7" s="34">
        <f>ROUND((O7/B7), 0)</f>
        <v>27</v>
      </c>
      <c r="F7" s="34">
        <f>ROUND((O7/D7), 0)</f>
        <v>22</v>
      </c>
      <c r="G7" s="20">
        <v>20</v>
      </c>
      <c r="H7" s="20">
        <v>6</v>
      </c>
      <c r="I7" s="20">
        <v>486</v>
      </c>
      <c r="J7" s="20">
        <v>74</v>
      </c>
      <c r="K7" s="34">
        <f>SUM(I7:J7)</f>
        <v>560</v>
      </c>
      <c r="L7" s="20">
        <v>25</v>
      </c>
      <c r="M7" s="36">
        <f>(I7+L7)</f>
        <v>511</v>
      </c>
      <c r="N7" s="351" t="s">
        <v>79</v>
      </c>
      <c r="O7" s="344">
        <v>692.3</v>
      </c>
      <c r="P7" s="183">
        <f t="shared" ref="P7:P22" si="6">M7/O7</f>
        <v>0.73811931243680495</v>
      </c>
      <c r="Q7" s="20">
        <v>228</v>
      </c>
      <c r="R7" s="20">
        <v>56</v>
      </c>
      <c r="S7" s="300">
        <v>9989425</v>
      </c>
      <c r="T7" s="35">
        <f>SUM(U7:V7)</f>
        <v>10028505</v>
      </c>
      <c r="U7" s="341">
        <v>9205196</v>
      </c>
      <c r="V7" s="24">
        <v>823309</v>
      </c>
      <c r="W7" s="185">
        <f t="shared" ref="W7:W22" si="7">V7/T7</f>
        <v>8.2096882835477475E-2</v>
      </c>
    </row>
    <row r="8" spans="1:220" s="65" customFormat="1">
      <c r="A8" s="95">
        <v>2016</v>
      </c>
      <c r="B8" s="63">
        <v>26</v>
      </c>
      <c r="C8" s="63">
        <v>5</v>
      </c>
      <c r="D8" s="81">
        <f>B8+C8</f>
        <v>31</v>
      </c>
      <c r="E8" s="82">
        <f>ROUND((O8/B8), 0)</f>
        <v>24</v>
      </c>
      <c r="F8" s="82">
        <f>ROUND((O8/D8), 0)</f>
        <v>20</v>
      </c>
      <c r="G8" s="63">
        <v>17</v>
      </c>
      <c r="H8" s="63">
        <v>3.3</v>
      </c>
      <c r="I8" s="63">
        <v>439</v>
      </c>
      <c r="J8" s="63">
        <v>69</v>
      </c>
      <c r="K8" s="81">
        <f>I8+J8</f>
        <v>508</v>
      </c>
      <c r="L8" s="63">
        <v>35.020000000000003</v>
      </c>
      <c r="M8" s="82">
        <f>I8+L8</f>
        <v>474.02</v>
      </c>
      <c r="N8" s="87" t="s">
        <v>79</v>
      </c>
      <c r="O8" s="63">
        <v>633.02</v>
      </c>
      <c r="P8" s="183">
        <f t="shared" si="6"/>
        <v>0.74882310195570434</v>
      </c>
      <c r="Q8" s="63">
        <v>188</v>
      </c>
      <c r="R8" s="63">
        <v>42</v>
      </c>
      <c r="S8" s="64">
        <v>10857828</v>
      </c>
      <c r="T8" s="85">
        <f>SUM(U8:V8)</f>
        <v>9807828</v>
      </c>
      <c r="U8" s="64">
        <v>9205196</v>
      </c>
      <c r="V8" s="64">
        <v>602632</v>
      </c>
      <c r="W8" s="185">
        <f t="shared" si="7"/>
        <v>6.1443981276996296E-2</v>
      </c>
    </row>
    <row r="9" spans="1:220" s="105" customFormat="1">
      <c r="A9" s="267">
        <v>2015</v>
      </c>
      <c r="B9" s="91">
        <v>16</v>
      </c>
      <c r="C9" s="91">
        <v>2</v>
      </c>
      <c r="D9" s="81">
        <v>18</v>
      </c>
      <c r="E9" s="81">
        <v>33.4</v>
      </c>
      <c r="F9" s="81">
        <v>29.7</v>
      </c>
      <c r="G9" s="111"/>
      <c r="H9" s="111"/>
      <c r="I9" s="91">
        <v>356</v>
      </c>
      <c r="J9" s="91">
        <v>80</v>
      </c>
      <c r="K9" s="81">
        <v>436</v>
      </c>
      <c r="L9" s="91">
        <v>27</v>
      </c>
      <c r="M9" s="81">
        <v>382.6</v>
      </c>
      <c r="N9" s="87" t="s">
        <v>79</v>
      </c>
      <c r="O9" s="91">
        <v>533.9</v>
      </c>
      <c r="P9" s="183">
        <f t="shared" si="6"/>
        <v>0.7166135980520697</v>
      </c>
      <c r="Q9" s="91">
        <v>164</v>
      </c>
      <c r="R9" s="91">
        <v>44</v>
      </c>
      <c r="S9" s="102">
        <v>9553460</v>
      </c>
      <c r="T9" s="103">
        <v>8674039</v>
      </c>
      <c r="U9" s="102">
        <v>8402350</v>
      </c>
      <c r="V9" s="102">
        <v>271689</v>
      </c>
      <c r="W9" s="185">
        <f t="shared" si="7"/>
        <v>3.132208651586648E-2</v>
      </c>
    </row>
    <row r="10" spans="1:220" s="105" customFormat="1">
      <c r="A10" s="90">
        <v>2014</v>
      </c>
      <c r="B10" s="91">
        <v>25</v>
      </c>
      <c r="C10" s="91">
        <v>2.23</v>
      </c>
      <c r="D10" s="81">
        <f>B10+C10</f>
        <v>27.23</v>
      </c>
      <c r="E10" s="82">
        <f t="shared" ref="E10:E22" si="8">ROUND((O10/B10), 0)</f>
        <v>10</v>
      </c>
      <c r="F10" s="82">
        <f t="shared" ref="F10:F22" si="9">ROUND((O10/D10), 0)</f>
        <v>9</v>
      </c>
      <c r="G10" s="111"/>
      <c r="H10" s="111"/>
      <c r="I10" s="91">
        <v>181</v>
      </c>
      <c r="J10" s="91">
        <v>23</v>
      </c>
      <c r="K10" s="81">
        <f>I10+J10</f>
        <v>204</v>
      </c>
      <c r="L10" s="91">
        <v>6.9</v>
      </c>
      <c r="M10" s="82">
        <f>I10+L10</f>
        <v>187.9</v>
      </c>
      <c r="N10" s="87" t="s">
        <v>79</v>
      </c>
      <c r="O10" s="91">
        <v>245</v>
      </c>
      <c r="P10" s="183">
        <f t="shared" si="6"/>
        <v>0.76693877551020406</v>
      </c>
      <c r="Q10" s="91">
        <v>165</v>
      </c>
      <c r="R10" s="91">
        <v>38</v>
      </c>
      <c r="S10" s="92">
        <v>10963966</v>
      </c>
      <c r="T10" s="85">
        <f t="shared" ref="T10:T22" si="10">SUM(U10:V10)</f>
        <v>10030277</v>
      </c>
      <c r="U10" s="92">
        <v>8342254</v>
      </c>
      <c r="V10" s="92">
        <v>1688023</v>
      </c>
      <c r="W10" s="185">
        <f t="shared" si="7"/>
        <v>0.16829276001051616</v>
      </c>
    </row>
    <row r="11" spans="1:220" s="71" customFormat="1">
      <c r="A11" s="90">
        <v>2013</v>
      </c>
      <c r="B11" s="361">
        <v>24</v>
      </c>
      <c r="C11" s="361">
        <v>6</v>
      </c>
      <c r="D11" s="108">
        <f>B11+C11</f>
        <v>30</v>
      </c>
      <c r="E11" s="109">
        <f t="shared" si="8"/>
        <v>21</v>
      </c>
      <c r="F11" s="109">
        <f t="shared" si="9"/>
        <v>17</v>
      </c>
      <c r="G11" s="113"/>
      <c r="H11" s="113"/>
      <c r="I11" s="361">
        <v>300</v>
      </c>
      <c r="J11" s="361">
        <v>105</v>
      </c>
      <c r="K11" s="108">
        <f>I11+J11</f>
        <v>405</v>
      </c>
      <c r="L11" s="361">
        <v>31.5</v>
      </c>
      <c r="M11" s="109">
        <f>I11+L11</f>
        <v>331.5</v>
      </c>
      <c r="N11" s="87" t="s">
        <v>79</v>
      </c>
      <c r="O11" s="361">
        <v>496.9</v>
      </c>
      <c r="P11" s="183">
        <f t="shared" si="6"/>
        <v>0.66713624471724697</v>
      </c>
      <c r="Q11" s="361">
        <v>197</v>
      </c>
      <c r="R11" s="361">
        <v>43</v>
      </c>
      <c r="S11" s="112">
        <v>8741132</v>
      </c>
      <c r="T11" s="110">
        <f t="shared" si="10"/>
        <v>8962445</v>
      </c>
      <c r="U11" s="112">
        <v>8980602</v>
      </c>
      <c r="V11" s="112">
        <v>-18157</v>
      </c>
      <c r="W11" s="185">
        <f t="shared" si="7"/>
        <v>-2.0258980668779558E-3</v>
      </c>
    </row>
    <row r="12" spans="1:220" s="71" customFormat="1">
      <c r="A12" s="90">
        <v>2012</v>
      </c>
      <c r="B12" s="361">
        <v>22</v>
      </c>
      <c r="C12" s="361">
        <v>6</v>
      </c>
      <c r="D12" s="108">
        <f>B12+C12</f>
        <v>28</v>
      </c>
      <c r="E12" s="109">
        <f t="shared" si="8"/>
        <v>22</v>
      </c>
      <c r="F12" s="109">
        <f t="shared" si="9"/>
        <v>17</v>
      </c>
      <c r="G12" s="113"/>
      <c r="H12" s="113"/>
      <c r="I12" s="361">
        <v>320</v>
      </c>
      <c r="J12" s="361">
        <v>128</v>
      </c>
      <c r="K12" s="108">
        <f>I12+J12</f>
        <v>448</v>
      </c>
      <c r="L12" s="361">
        <v>42.7</v>
      </c>
      <c r="M12" s="109">
        <f>I12+L12</f>
        <v>362.7</v>
      </c>
      <c r="N12" s="87" t="s">
        <v>79</v>
      </c>
      <c r="O12" s="361">
        <v>487.90000000000003</v>
      </c>
      <c r="P12" s="183">
        <f t="shared" si="6"/>
        <v>0.74339003894240618</v>
      </c>
      <c r="Q12" s="361">
        <v>160</v>
      </c>
      <c r="R12" s="361">
        <v>41</v>
      </c>
      <c r="S12" s="112">
        <v>8402912</v>
      </c>
      <c r="T12" s="110">
        <f t="shared" si="10"/>
        <v>8432609</v>
      </c>
      <c r="U12" s="112">
        <v>8372776</v>
      </c>
      <c r="V12" s="112">
        <v>59833</v>
      </c>
      <c r="W12" s="185">
        <f t="shared" si="7"/>
        <v>7.0954315562360357E-3</v>
      </c>
    </row>
    <row r="13" spans="1:220" s="71" customFormat="1">
      <c r="A13" s="90" t="s">
        <v>81</v>
      </c>
      <c r="B13" s="361">
        <v>24</v>
      </c>
      <c r="C13" s="361">
        <v>6</v>
      </c>
      <c r="D13" s="108">
        <f t="shared" ref="D13:D22" si="11">SUM(B13:C13)</f>
        <v>30</v>
      </c>
      <c r="E13" s="109">
        <f t="shared" si="8"/>
        <v>20</v>
      </c>
      <c r="F13" s="109">
        <f t="shared" si="9"/>
        <v>16</v>
      </c>
      <c r="G13" s="113"/>
      <c r="H13" s="113"/>
      <c r="I13" s="361">
        <v>330</v>
      </c>
      <c r="J13" s="361">
        <v>113</v>
      </c>
      <c r="K13" s="108">
        <f t="shared" ref="K13:K22" si="12">SUM(I13:J13)</f>
        <v>443</v>
      </c>
      <c r="L13" s="361">
        <v>37.700000000000003</v>
      </c>
      <c r="M13" s="109">
        <f t="shared" ref="M13:M22" si="13">(I13+L13)</f>
        <v>367.7</v>
      </c>
      <c r="N13" s="87" t="s">
        <v>79</v>
      </c>
      <c r="O13" s="361">
        <v>490.79999999999995</v>
      </c>
      <c r="P13" s="183">
        <f t="shared" si="6"/>
        <v>0.74918500407497968</v>
      </c>
      <c r="Q13" s="361">
        <v>221</v>
      </c>
      <c r="R13" s="361">
        <v>43</v>
      </c>
      <c r="S13" s="112">
        <v>8186784</v>
      </c>
      <c r="T13" s="110">
        <f t="shared" si="10"/>
        <v>8483900</v>
      </c>
      <c r="U13" s="112">
        <v>8416688</v>
      </c>
      <c r="V13" s="112">
        <v>67212</v>
      </c>
      <c r="W13" s="185">
        <f t="shared" si="7"/>
        <v>7.9222998856657897E-3</v>
      </c>
    </row>
    <row r="14" spans="1:220" s="71" customFormat="1">
      <c r="A14" s="90" t="s">
        <v>82</v>
      </c>
      <c r="B14" s="361">
        <v>24</v>
      </c>
      <c r="C14" s="361">
        <v>5</v>
      </c>
      <c r="D14" s="108">
        <f t="shared" si="11"/>
        <v>29</v>
      </c>
      <c r="E14" s="109">
        <f t="shared" si="8"/>
        <v>20</v>
      </c>
      <c r="F14" s="109">
        <f t="shared" si="9"/>
        <v>17</v>
      </c>
      <c r="G14" s="113"/>
      <c r="H14" s="113"/>
      <c r="I14" s="361">
        <v>341</v>
      </c>
      <c r="J14" s="361">
        <v>122</v>
      </c>
      <c r="K14" s="108">
        <f t="shared" si="12"/>
        <v>463</v>
      </c>
      <c r="L14" s="361">
        <v>36</v>
      </c>
      <c r="M14" s="109">
        <f t="shared" si="13"/>
        <v>377</v>
      </c>
      <c r="N14" s="87" t="s">
        <v>79</v>
      </c>
      <c r="O14" s="356">
        <v>490.8</v>
      </c>
      <c r="P14" s="183">
        <f t="shared" si="6"/>
        <v>0.7681336593317033</v>
      </c>
      <c r="Q14" s="361">
        <v>155</v>
      </c>
      <c r="R14" s="361">
        <v>38</v>
      </c>
      <c r="S14" s="112">
        <v>7726751.2050000001</v>
      </c>
      <c r="T14" s="110">
        <f t="shared" si="10"/>
        <v>7731147</v>
      </c>
      <c r="U14" s="112">
        <v>7299360</v>
      </c>
      <c r="V14" s="112">
        <v>431787</v>
      </c>
      <c r="W14" s="185">
        <f t="shared" si="7"/>
        <v>5.5850315612935568E-2</v>
      </c>
    </row>
    <row r="15" spans="1:220" s="71" customFormat="1">
      <c r="A15" s="90" t="s">
        <v>83</v>
      </c>
      <c r="B15" s="361">
        <v>24</v>
      </c>
      <c r="C15" s="361">
        <v>4</v>
      </c>
      <c r="D15" s="108">
        <f t="shared" si="11"/>
        <v>28</v>
      </c>
      <c r="E15" s="109">
        <f t="shared" si="8"/>
        <v>20</v>
      </c>
      <c r="F15" s="109">
        <f t="shared" si="9"/>
        <v>17</v>
      </c>
      <c r="G15" s="113"/>
      <c r="H15" s="113"/>
      <c r="I15" s="361">
        <v>332</v>
      </c>
      <c r="J15" s="361">
        <v>123</v>
      </c>
      <c r="K15" s="108">
        <f t="shared" si="12"/>
        <v>455</v>
      </c>
      <c r="L15" s="361">
        <v>36.9</v>
      </c>
      <c r="M15" s="109">
        <f t="shared" si="13"/>
        <v>368.9</v>
      </c>
      <c r="N15" s="87" t="s">
        <v>79</v>
      </c>
      <c r="O15" s="361">
        <v>481.3</v>
      </c>
      <c r="P15" s="183">
        <f t="shared" si="6"/>
        <v>0.76646582173280686</v>
      </c>
      <c r="Q15" s="361">
        <v>165</v>
      </c>
      <c r="R15" s="361">
        <v>28</v>
      </c>
      <c r="S15" s="112">
        <v>7486221.1749999998</v>
      </c>
      <c r="T15" s="110">
        <f t="shared" si="10"/>
        <v>6749657</v>
      </c>
      <c r="U15" s="112">
        <v>6258227</v>
      </c>
      <c r="V15" s="112">
        <v>491430</v>
      </c>
      <c r="W15" s="185">
        <f t="shared" si="7"/>
        <v>7.2808144176807796E-2</v>
      </c>
    </row>
    <row r="16" spans="1:220" s="71" customFormat="1">
      <c r="A16" s="90" t="s">
        <v>84</v>
      </c>
      <c r="B16" s="361">
        <v>24</v>
      </c>
      <c r="C16" s="361">
        <v>2.5</v>
      </c>
      <c r="D16" s="108">
        <f t="shared" si="11"/>
        <v>26.5</v>
      </c>
      <c r="E16" s="109">
        <f t="shared" si="8"/>
        <v>18</v>
      </c>
      <c r="F16" s="109">
        <f t="shared" si="9"/>
        <v>16</v>
      </c>
      <c r="G16" s="113"/>
      <c r="H16" s="113"/>
      <c r="I16" s="361">
        <v>281</v>
      </c>
      <c r="J16" s="361">
        <v>129</v>
      </c>
      <c r="K16" s="108">
        <f t="shared" si="12"/>
        <v>410</v>
      </c>
      <c r="L16" s="361">
        <v>43</v>
      </c>
      <c r="M16" s="109">
        <f t="shared" si="13"/>
        <v>324</v>
      </c>
      <c r="N16" s="87" t="s">
        <v>79</v>
      </c>
      <c r="O16" s="361">
        <v>425</v>
      </c>
      <c r="P16" s="183">
        <f t="shared" si="6"/>
        <v>0.76235294117647057</v>
      </c>
      <c r="Q16" s="361">
        <v>148</v>
      </c>
      <c r="R16" s="361">
        <v>21</v>
      </c>
      <c r="S16" s="112">
        <v>5847011.9350000005</v>
      </c>
      <c r="T16" s="110">
        <f t="shared" si="10"/>
        <v>6258516</v>
      </c>
      <c r="U16" s="112">
        <v>5770171</v>
      </c>
      <c r="V16" s="112">
        <v>488345</v>
      </c>
      <c r="W16" s="185">
        <f t="shared" si="7"/>
        <v>7.8028880967948314E-2</v>
      </c>
    </row>
    <row r="17" spans="1:23" s="71" customFormat="1">
      <c r="A17" s="90">
        <v>2007</v>
      </c>
      <c r="B17" s="361">
        <v>14</v>
      </c>
      <c r="C17" s="361">
        <v>4.5</v>
      </c>
      <c r="D17" s="194">
        <f t="shared" si="11"/>
        <v>18.5</v>
      </c>
      <c r="E17" s="109">
        <f t="shared" si="8"/>
        <v>25</v>
      </c>
      <c r="F17" s="109">
        <f t="shared" si="9"/>
        <v>19</v>
      </c>
      <c r="G17" s="113"/>
      <c r="H17" s="113"/>
      <c r="I17" s="361">
        <v>279</v>
      </c>
      <c r="J17" s="361">
        <v>117</v>
      </c>
      <c r="K17" s="194">
        <f t="shared" si="12"/>
        <v>396</v>
      </c>
      <c r="L17" s="361">
        <v>35.200000000000003</v>
      </c>
      <c r="M17" s="109">
        <f t="shared" si="13"/>
        <v>314.2</v>
      </c>
      <c r="N17" s="87" t="s">
        <v>79</v>
      </c>
      <c r="O17" s="361">
        <v>352</v>
      </c>
      <c r="P17" s="183">
        <f t="shared" si="6"/>
        <v>0.89261363636363633</v>
      </c>
      <c r="Q17" s="279">
        <v>141</v>
      </c>
      <c r="R17" s="279">
        <v>2</v>
      </c>
      <c r="S17" s="192">
        <v>5147817</v>
      </c>
      <c r="T17" s="110">
        <f t="shared" si="10"/>
        <v>5271704</v>
      </c>
      <c r="U17" s="192">
        <v>4427805</v>
      </c>
      <c r="V17" s="208">
        <v>843899</v>
      </c>
      <c r="W17" s="185">
        <f t="shared" si="7"/>
        <v>0.16008087707504062</v>
      </c>
    </row>
    <row r="18" spans="1:23" s="71" customFormat="1">
      <c r="A18" s="90">
        <v>2006</v>
      </c>
      <c r="B18" s="361">
        <v>16</v>
      </c>
      <c r="C18" s="91" t="s">
        <v>79</v>
      </c>
      <c r="D18" s="194">
        <f t="shared" si="11"/>
        <v>16</v>
      </c>
      <c r="E18" s="109">
        <f t="shared" si="8"/>
        <v>21</v>
      </c>
      <c r="F18" s="109">
        <f t="shared" si="9"/>
        <v>21</v>
      </c>
      <c r="G18" s="113"/>
      <c r="H18" s="113"/>
      <c r="I18" s="361">
        <v>240</v>
      </c>
      <c r="J18" s="361">
        <v>113</v>
      </c>
      <c r="K18" s="194">
        <f t="shared" si="12"/>
        <v>353</v>
      </c>
      <c r="L18" s="361">
        <v>67.8</v>
      </c>
      <c r="M18" s="109">
        <f t="shared" si="13"/>
        <v>307.8</v>
      </c>
      <c r="N18" s="87" t="s">
        <v>79</v>
      </c>
      <c r="O18" s="361">
        <v>338</v>
      </c>
      <c r="P18" s="183">
        <f t="shared" si="6"/>
        <v>0.91065088757396451</v>
      </c>
      <c r="Q18" s="361">
        <v>130</v>
      </c>
      <c r="R18" s="361">
        <v>1</v>
      </c>
      <c r="S18" s="192">
        <v>4052361</v>
      </c>
      <c r="T18" s="110">
        <f t="shared" si="10"/>
        <v>5299198</v>
      </c>
      <c r="U18" s="192">
        <v>3378756</v>
      </c>
      <c r="V18" s="192">
        <v>1920442</v>
      </c>
      <c r="W18" s="185">
        <f t="shared" si="7"/>
        <v>0.36240238617239817</v>
      </c>
    </row>
    <row r="19" spans="1:23" s="71" customFormat="1">
      <c r="A19" s="90">
        <v>2005</v>
      </c>
      <c r="B19" s="361">
        <v>13</v>
      </c>
      <c r="C19" s="91" t="s">
        <v>79</v>
      </c>
      <c r="D19" s="194">
        <f t="shared" si="11"/>
        <v>13</v>
      </c>
      <c r="E19" s="109">
        <f t="shared" si="8"/>
        <v>20</v>
      </c>
      <c r="F19" s="109">
        <f t="shared" si="9"/>
        <v>20</v>
      </c>
      <c r="G19" s="113"/>
      <c r="H19" s="113"/>
      <c r="I19" s="361">
        <v>194</v>
      </c>
      <c r="J19" s="361">
        <v>132</v>
      </c>
      <c r="K19" s="194">
        <f t="shared" si="12"/>
        <v>326</v>
      </c>
      <c r="L19" s="361">
        <v>39.6</v>
      </c>
      <c r="M19" s="109">
        <f t="shared" si="13"/>
        <v>233.6</v>
      </c>
      <c r="N19" s="87" t="s">
        <v>79</v>
      </c>
      <c r="O19" s="361">
        <v>264</v>
      </c>
      <c r="P19" s="183">
        <f t="shared" si="6"/>
        <v>0.88484848484848477</v>
      </c>
      <c r="Q19" s="361">
        <v>126</v>
      </c>
      <c r="R19" s="361">
        <v>5</v>
      </c>
      <c r="S19" s="192">
        <v>3544985</v>
      </c>
      <c r="T19" s="110">
        <f t="shared" si="10"/>
        <v>3478168</v>
      </c>
      <c r="U19" s="192">
        <v>3178504</v>
      </c>
      <c r="V19" s="192">
        <v>299664</v>
      </c>
      <c r="W19" s="185">
        <f t="shared" si="7"/>
        <v>8.6155700357199536E-2</v>
      </c>
    </row>
    <row r="20" spans="1:23" s="71" customFormat="1">
      <c r="A20" s="90">
        <v>2004</v>
      </c>
      <c r="B20" s="195">
        <v>15</v>
      </c>
      <c r="C20" s="315" t="s">
        <v>79</v>
      </c>
      <c r="D20" s="194">
        <f t="shared" si="11"/>
        <v>15</v>
      </c>
      <c r="E20" s="109">
        <f t="shared" si="8"/>
        <v>18</v>
      </c>
      <c r="F20" s="109">
        <f t="shared" si="9"/>
        <v>18</v>
      </c>
      <c r="G20" s="113"/>
      <c r="H20" s="113"/>
      <c r="I20" s="195">
        <v>211</v>
      </c>
      <c r="J20" s="195">
        <v>122</v>
      </c>
      <c r="K20" s="194">
        <f t="shared" si="12"/>
        <v>333</v>
      </c>
      <c r="L20" s="195">
        <v>37</v>
      </c>
      <c r="M20" s="109">
        <f t="shared" si="13"/>
        <v>248</v>
      </c>
      <c r="N20" s="87" t="s">
        <v>79</v>
      </c>
      <c r="O20" s="195">
        <v>277</v>
      </c>
      <c r="P20" s="183">
        <f t="shared" si="6"/>
        <v>0.89530685920577613</v>
      </c>
      <c r="Q20" s="195">
        <v>97</v>
      </c>
      <c r="R20" s="361">
        <v>4</v>
      </c>
      <c r="S20" s="192">
        <v>3484003</v>
      </c>
      <c r="T20" s="110">
        <f t="shared" si="10"/>
        <v>3581681</v>
      </c>
      <c r="U20" s="192">
        <v>3240994</v>
      </c>
      <c r="V20" s="192">
        <v>340687</v>
      </c>
      <c r="W20" s="185">
        <f t="shared" si="7"/>
        <v>9.5119302919495066E-2</v>
      </c>
    </row>
    <row r="21" spans="1:23" s="71" customFormat="1">
      <c r="A21" s="90">
        <v>2003</v>
      </c>
      <c r="B21" s="195">
        <v>14</v>
      </c>
      <c r="C21" s="315" t="s">
        <v>79</v>
      </c>
      <c r="D21" s="194">
        <f t="shared" si="11"/>
        <v>14</v>
      </c>
      <c r="E21" s="109">
        <f t="shared" si="8"/>
        <v>21</v>
      </c>
      <c r="F21" s="109">
        <f t="shared" si="9"/>
        <v>21</v>
      </c>
      <c r="G21" s="113"/>
      <c r="H21" s="113"/>
      <c r="I21" s="195">
        <v>220</v>
      </c>
      <c r="J21" s="195">
        <v>131</v>
      </c>
      <c r="K21" s="194">
        <f t="shared" si="12"/>
        <v>351</v>
      </c>
      <c r="L21" s="195">
        <v>39</v>
      </c>
      <c r="M21" s="109">
        <f t="shared" si="13"/>
        <v>259</v>
      </c>
      <c r="N21" s="87" t="s">
        <v>79</v>
      </c>
      <c r="O21" s="195">
        <v>298</v>
      </c>
      <c r="P21" s="183">
        <f t="shared" si="6"/>
        <v>0.86912751677852351</v>
      </c>
      <c r="Q21" s="195">
        <v>69</v>
      </c>
      <c r="R21" s="361">
        <v>2</v>
      </c>
      <c r="S21" s="192">
        <v>2766947</v>
      </c>
      <c r="T21" s="110">
        <f t="shared" si="10"/>
        <v>2782685</v>
      </c>
      <c r="U21" s="192">
        <v>2692031</v>
      </c>
      <c r="V21" s="192">
        <v>90654</v>
      </c>
      <c r="W21" s="185">
        <f t="shared" si="7"/>
        <v>3.257788790323015E-2</v>
      </c>
    </row>
    <row r="22" spans="1:23" s="71" customFormat="1">
      <c r="A22" s="90">
        <v>2002</v>
      </c>
      <c r="B22" s="195">
        <v>14</v>
      </c>
      <c r="C22" s="315" t="s">
        <v>79</v>
      </c>
      <c r="D22" s="194">
        <f t="shared" si="11"/>
        <v>14</v>
      </c>
      <c r="E22" s="109">
        <f t="shared" si="8"/>
        <v>15</v>
      </c>
      <c r="F22" s="109">
        <f t="shared" si="9"/>
        <v>15</v>
      </c>
      <c r="G22" s="113"/>
      <c r="H22" s="113"/>
      <c r="I22" s="195">
        <v>136</v>
      </c>
      <c r="J22" s="195">
        <v>116</v>
      </c>
      <c r="K22" s="194">
        <f t="shared" si="12"/>
        <v>252</v>
      </c>
      <c r="L22" s="195">
        <f>ROUND(34.8, 0)</f>
        <v>35</v>
      </c>
      <c r="M22" s="109">
        <f t="shared" si="13"/>
        <v>171</v>
      </c>
      <c r="N22" s="87" t="s">
        <v>79</v>
      </c>
      <c r="O22" s="195">
        <f>ROUND(205.6, 0)</f>
        <v>206</v>
      </c>
      <c r="P22" s="183">
        <f t="shared" si="6"/>
        <v>0.83009708737864074</v>
      </c>
      <c r="Q22" s="195">
        <v>81</v>
      </c>
      <c r="R22" s="361">
        <v>3</v>
      </c>
      <c r="S22" s="192">
        <v>2601275</v>
      </c>
      <c r="T22" s="110">
        <f t="shared" si="10"/>
        <v>2601365</v>
      </c>
      <c r="U22" s="192">
        <v>2547515</v>
      </c>
      <c r="V22" s="192">
        <v>53850</v>
      </c>
      <c r="W22" s="185">
        <f t="shared" si="7"/>
        <v>2.070067060946849E-2</v>
      </c>
    </row>
    <row r="23" spans="1:23" s="14" customFormat="1"/>
    <row r="24" spans="1:23" s="14" customFormat="1"/>
    <row r="25" spans="1:23" s="14" customFormat="1"/>
    <row r="26" spans="1:23" s="14" customFormat="1"/>
    <row r="27" spans="1:23" s="14" customFormat="1"/>
    <row r="28" spans="1:23" s="14" customFormat="1"/>
    <row r="29" spans="1:23" s="14" customFormat="1"/>
    <row r="30" spans="1:23" s="14" customFormat="1"/>
    <row r="31" spans="1:23" s="14" customFormat="1"/>
    <row r="32" spans="1:23" s="14" customFormat="1"/>
    <row r="33" s="14" customFormat="1"/>
    <row r="34" s="14" customFormat="1"/>
  </sheetData>
  <printOptions headings="1" gridLines="1"/>
  <pageMargins left="0.5" right="0.5" top="0.5" bottom="0.5" header="0" footer="0"/>
  <pageSetup paperSize="5" scale="67"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L34"/>
  <sheetViews>
    <sheetView workbookViewId="0">
      <selection activeCell="J32" sqref="J32"/>
    </sheetView>
  </sheetViews>
  <sheetFormatPr defaultColWidth="8.85546875" defaultRowHeight="15"/>
  <cols>
    <col min="1" max="1" width="10.42578125" customWidth="1"/>
    <col min="2" max="2" width="8.42578125"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3" width="13.140625" bestFit="1" customWidth="1"/>
    <col min="14" max="14" width="10.42578125"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1.5703125" bestFit="1" customWidth="1"/>
    <col min="22" max="22" width="10.85546875" bestFit="1" customWidth="1"/>
    <col min="23" max="23" width="12.85546875" bestFit="1" customWidth="1"/>
    <col min="24" max="57" width="8.85546875" style="376"/>
  </cols>
  <sheetData>
    <row r="1" spans="1:220" s="1" customFormat="1" ht="18.75">
      <c r="A1" s="1" t="s">
        <v>3</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row>
    <row r="3" spans="1:220" s="3" customFormat="1">
      <c r="A3" s="417">
        <v>2021</v>
      </c>
      <c r="B3" s="412">
        <v>13</v>
      </c>
      <c r="C3" s="412">
        <v>4</v>
      </c>
      <c r="D3" s="410">
        <v>17</v>
      </c>
      <c r="E3" s="411">
        <f t="shared" ref="E3" si="0">ROUND((O3/B3), 0)</f>
        <v>23</v>
      </c>
      <c r="F3" s="411">
        <f t="shared" ref="F3" si="1">ROUND((O3/D3), 0)</f>
        <v>17</v>
      </c>
      <c r="G3" s="412">
        <v>13</v>
      </c>
      <c r="H3" s="412">
        <v>4</v>
      </c>
      <c r="I3" s="412">
        <v>242</v>
      </c>
      <c r="J3" s="412">
        <v>3</v>
      </c>
      <c r="K3" s="410">
        <f t="shared" ref="K3" si="2">SUM(I3:J3)</f>
        <v>245</v>
      </c>
      <c r="L3" s="412">
        <v>1.08</v>
      </c>
      <c r="M3" s="411">
        <f>(I3+L3)</f>
        <v>243.08</v>
      </c>
      <c r="N3" s="394" t="s">
        <v>79</v>
      </c>
      <c r="O3" s="412">
        <v>296</v>
      </c>
      <c r="P3" s="413">
        <f t="shared" ref="P3" si="3">M3/O3</f>
        <v>0.82121621621621621</v>
      </c>
      <c r="Q3" s="412">
        <v>71</v>
      </c>
      <c r="R3" s="412">
        <v>8</v>
      </c>
      <c r="S3" s="414">
        <v>3536862</v>
      </c>
      <c r="T3" s="415">
        <v>3819717</v>
      </c>
      <c r="U3" s="414">
        <v>3819717</v>
      </c>
      <c r="V3" s="414">
        <v>0</v>
      </c>
      <c r="W3" s="335">
        <v>0</v>
      </c>
      <c r="X3" s="564"/>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row>
    <row r="4" spans="1:220" s="3" customFormat="1">
      <c r="A4" s="417">
        <v>2020</v>
      </c>
      <c r="B4" s="412">
        <v>13</v>
      </c>
      <c r="C4" s="412">
        <v>4</v>
      </c>
      <c r="D4" s="410">
        <f>SUM(B4:C4)</f>
        <v>17</v>
      </c>
      <c r="E4" s="411">
        <f>ROUND((O4/B4), 0)</f>
        <v>22</v>
      </c>
      <c r="F4" s="411">
        <f>ROUND((O4/D4), 0)</f>
        <v>17</v>
      </c>
      <c r="G4" s="412">
        <v>13</v>
      </c>
      <c r="H4" s="412">
        <v>4</v>
      </c>
      <c r="I4" s="412">
        <v>233</v>
      </c>
      <c r="J4" s="412">
        <v>7</v>
      </c>
      <c r="K4" s="410">
        <f t="shared" ref="K4" si="4">SUM(I4:J4)</f>
        <v>240</v>
      </c>
      <c r="L4" s="412">
        <v>2.52</v>
      </c>
      <c r="M4" s="411">
        <f>(I4+L4)</f>
        <v>235.52</v>
      </c>
      <c r="N4" s="394" t="s">
        <v>79</v>
      </c>
      <c r="O4" s="412">
        <v>281</v>
      </c>
      <c r="P4" s="413">
        <f t="shared" ref="P4" si="5">M4/O4</f>
        <v>0.8381494661921709</v>
      </c>
      <c r="Q4" s="412">
        <v>62</v>
      </c>
      <c r="R4" s="412">
        <v>25</v>
      </c>
      <c r="S4" s="414">
        <v>3580512</v>
      </c>
      <c r="T4" s="415">
        <f>SUM(U4:V4)</f>
        <v>3712142</v>
      </c>
      <c r="U4" s="414">
        <v>3712142</v>
      </c>
      <c r="V4" s="414">
        <v>0</v>
      </c>
      <c r="W4" s="335">
        <f t="shared" ref="W4" si="6">V4/T4</f>
        <v>0</v>
      </c>
      <c r="X4" s="564"/>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c r="BB4" s="416"/>
      <c r="BC4" s="416"/>
      <c r="BD4" s="416"/>
      <c r="BE4" s="416"/>
    </row>
    <row r="5" spans="1:220" s="3" customFormat="1">
      <c r="A5" s="417">
        <v>2019</v>
      </c>
      <c r="B5" s="412">
        <v>13</v>
      </c>
      <c r="C5" s="412">
        <v>5.25</v>
      </c>
      <c r="D5" s="410">
        <f>SUM(B5:C5)</f>
        <v>18.25</v>
      </c>
      <c r="E5" s="411">
        <f>ROUND((O5/B5), 0)</f>
        <v>21</v>
      </c>
      <c r="F5" s="411">
        <f>ROUND((O5/D5), 0)</f>
        <v>15</v>
      </c>
      <c r="G5" s="412">
        <v>13</v>
      </c>
      <c r="H5" s="412">
        <v>4.25</v>
      </c>
      <c r="I5" s="412">
        <v>213</v>
      </c>
      <c r="J5" s="412">
        <v>7</v>
      </c>
      <c r="K5" s="410">
        <f t="shared" ref="K5" si="7">SUM(I5:J5)</f>
        <v>220</v>
      </c>
      <c r="L5" s="412">
        <v>2.52</v>
      </c>
      <c r="M5" s="411">
        <f>(I5+L5)</f>
        <v>215.52</v>
      </c>
      <c r="N5" s="394" t="s">
        <v>79</v>
      </c>
      <c r="O5" s="412">
        <v>276</v>
      </c>
      <c r="P5" s="413">
        <f t="shared" ref="P5" si="8">M5/O5</f>
        <v>0.78086956521739137</v>
      </c>
      <c r="Q5" s="412">
        <v>85</v>
      </c>
      <c r="R5" s="412">
        <v>21</v>
      </c>
      <c r="S5" s="414">
        <v>3701816.9</v>
      </c>
      <c r="T5" s="415">
        <f>SUM(U5:V5)</f>
        <v>3192602</v>
      </c>
      <c r="U5" s="414">
        <f>2910091+282511</f>
        <v>3192602</v>
      </c>
      <c r="V5" s="414">
        <v>0</v>
      </c>
      <c r="W5" s="335">
        <f t="shared" ref="W5" si="9">V5/T5</f>
        <v>0</v>
      </c>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6"/>
      <c r="AY5" s="416"/>
      <c r="AZ5" s="416"/>
      <c r="BA5" s="416"/>
      <c r="BB5" s="416"/>
      <c r="BC5" s="416"/>
      <c r="BD5" s="416"/>
      <c r="BE5" s="416"/>
    </row>
    <row r="6" spans="1:220" s="17" customFormat="1">
      <c r="A6" s="33">
        <v>2018</v>
      </c>
      <c r="B6" s="20">
        <v>12</v>
      </c>
      <c r="C6" s="20">
        <v>5.12</v>
      </c>
      <c r="D6" s="29">
        <f>SUM(B6:C6)</f>
        <v>17.12</v>
      </c>
      <c r="E6" s="172">
        <f>ROUND((O6/B6), 0)</f>
        <v>25</v>
      </c>
      <c r="F6" s="172">
        <f>ROUND((O6/D6), 0)</f>
        <v>17</v>
      </c>
      <c r="G6" s="20">
        <v>12</v>
      </c>
      <c r="H6" s="20">
        <v>4.7300000000000004</v>
      </c>
      <c r="I6" s="20">
        <v>216</v>
      </c>
      <c r="J6" s="20">
        <v>8</v>
      </c>
      <c r="K6" s="29">
        <f t="shared" ref="K6" si="10">SUM(I6:J6)</f>
        <v>224</v>
      </c>
      <c r="L6" s="20">
        <v>2.88</v>
      </c>
      <c r="M6" s="172">
        <f>(I6+L6)</f>
        <v>218.88</v>
      </c>
      <c r="N6" s="394" t="s">
        <v>79</v>
      </c>
      <c r="O6" s="20">
        <v>296</v>
      </c>
      <c r="P6" s="183">
        <f>M6/O6</f>
        <v>0.73945945945945946</v>
      </c>
      <c r="Q6" s="20">
        <v>79</v>
      </c>
      <c r="R6" s="20">
        <v>19</v>
      </c>
      <c r="S6" s="24">
        <v>3202634</v>
      </c>
      <c r="T6" s="30">
        <f>SUM(U6:V6)</f>
        <v>3167776</v>
      </c>
      <c r="U6" s="24">
        <v>2820604</v>
      </c>
      <c r="V6" s="24">
        <v>347172</v>
      </c>
      <c r="W6" s="185">
        <f>V6/T6</f>
        <v>0.10959487034436778</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7" customFormat="1">
      <c r="A7" s="33">
        <v>2017</v>
      </c>
      <c r="B7" s="20">
        <v>12</v>
      </c>
      <c r="C7" s="20">
        <v>4.0599999999999996</v>
      </c>
      <c r="D7" s="29">
        <f>B7+C7</f>
        <v>16.059999999999999</v>
      </c>
      <c r="E7" s="172">
        <f>ROUND((O7/B7), 0)</f>
        <v>26</v>
      </c>
      <c r="F7" s="172">
        <f>ROUND((O7/D7), 0)</f>
        <v>19</v>
      </c>
      <c r="G7" s="20">
        <v>12</v>
      </c>
      <c r="H7" s="20">
        <v>4.0599999999999996</v>
      </c>
      <c r="I7" s="20">
        <v>228</v>
      </c>
      <c r="J7" s="20">
        <v>5</v>
      </c>
      <c r="K7" s="29">
        <f>I7+J7</f>
        <v>233</v>
      </c>
      <c r="L7" s="20">
        <v>2</v>
      </c>
      <c r="M7" s="172">
        <f>I7+L7</f>
        <v>230</v>
      </c>
      <c r="N7" s="187" t="s">
        <v>79</v>
      </c>
      <c r="O7" s="20">
        <v>309</v>
      </c>
      <c r="P7" s="183">
        <f t="shared" ref="P7:P22" si="11">M7/O7</f>
        <v>0.74433656957928807</v>
      </c>
      <c r="Q7" s="20">
        <v>72</v>
      </c>
      <c r="R7" s="20">
        <v>27</v>
      </c>
      <c r="S7" s="24">
        <v>3540892</v>
      </c>
      <c r="T7" s="30">
        <f>SUM(U7:V7)</f>
        <v>3558670</v>
      </c>
      <c r="U7" s="24">
        <v>2659310</v>
      </c>
      <c r="V7" s="24">
        <v>899360</v>
      </c>
      <c r="W7" s="185">
        <f t="shared" ref="W7:W22" si="12">V7/T7</f>
        <v>0.25272362989543845</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row>
    <row r="8" spans="1:220" s="75" customFormat="1">
      <c r="A8" s="95">
        <v>2016</v>
      </c>
      <c r="B8" s="63">
        <v>13</v>
      </c>
      <c r="C8" s="63">
        <v>4.5</v>
      </c>
      <c r="D8" s="108">
        <f>B8+C8</f>
        <v>17.5</v>
      </c>
      <c r="E8" s="109">
        <f>ROUND((O8/B8), 0)</f>
        <v>23</v>
      </c>
      <c r="F8" s="109">
        <f>ROUND((O8/D8), 0)</f>
        <v>17</v>
      </c>
      <c r="G8" s="63">
        <v>10</v>
      </c>
      <c r="H8" s="63">
        <v>4</v>
      </c>
      <c r="I8" s="63">
        <v>177</v>
      </c>
      <c r="J8" s="63">
        <v>5</v>
      </c>
      <c r="K8" s="108">
        <f>I8+J8</f>
        <v>182</v>
      </c>
      <c r="L8" s="63">
        <v>2.5</v>
      </c>
      <c r="M8" s="109">
        <f>I8+L8</f>
        <v>179.5</v>
      </c>
      <c r="N8" s="81" t="s">
        <v>79</v>
      </c>
      <c r="O8" s="63">
        <v>295</v>
      </c>
      <c r="P8" s="183">
        <f t="shared" si="11"/>
        <v>0.6084745762711864</v>
      </c>
      <c r="Q8" s="63">
        <v>78</v>
      </c>
      <c r="R8" s="63">
        <v>28</v>
      </c>
      <c r="S8" s="64">
        <v>2458601</v>
      </c>
      <c r="T8" s="110">
        <f>SUM(U8:V8)</f>
        <v>2671029</v>
      </c>
      <c r="U8" s="64">
        <v>2434178</v>
      </c>
      <c r="V8" s="64">
        <v>236851</v>
      </c>
      <c r="W8" s="185">
        <f t="shared" si="12"/>
        <v>8.8674065313405437E-2</v>
      </c>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row>
    <row r="9" spans="1:220" s="105" customFormat="1">
      <c r="A9" s="90">
        <v>2015</v>
      </c>
      <c r="B9" s="91">
        <v>11</v>
      </c>
      <c r="C9" s="91">
        <v>2.66</v>
      </c>
      <c r="D9" s="81">
        <v>13.66</v>
      </c>
      <c r="E9" s="81">
        <v>25.8</v>
      </c>
      <c r="F9" s="81">
        <v>20.8</v>
      </c>
      <c r="G9" s="111"/>
      <c r="H9" s="111"/>
      <c r="I9" s="91">
        <v>193</v>
      </c>
      <c r="J9" s="91">
        <v>2</v>
      </c>
      <c r="K9" s="81">
        <v>195</v>
      </c>
      <c r="L9" s="91">
        <v>1</v>
      </c>
      <c r="M9" s="81">
        <v>194</v>
      </c>
      <c r="N9" s="81" t="s">
        <v>79</v>
      </c>
      <c r="O9" s="91">
        <v>284</v>
      </c>
      <c r="P9" s="183">
        <f t="shared" si="11"/>
        <v>0.68309859154929575</v>
      </c>
      <c r="Q9" s="91">
        <v>65</v>
      </c>
      <c r="R9" s="91">
        <v>31</v>
      </c>
      <c r="S9" s="102">
        <v>2594656</v>
      </c>
      <c r="T9" s="103">
        <v>2848745</v>
      </c>
      <c r="U9" s="102">
        <v>2596986</v>
      </c>
      <c r="V9" s="102">
        <v>251759</v>
      </c>
      <c r="W9" s="185">
        <f t="shared" si="12"/>
        <v>8.8375407416248206E-2</v>
      </c>
    </row>
    <row r="10" spans="1:220" s="209" customFormat="1">
      <c r="A10" s="90" t="s">
        <v>136</v>
      </c>
      <c r="B10" s="91">
        <v>11</v>
      </c>
      <c r="C10" s="91">
        <v>5.3</v>
      </c>
      <c r="D10" s="81">
        <v>16.3</v>
      </c>
      <c r="E10" s="81">
        <v>25.4</v>
      </c>
      <c r="F10" s="81">
        <v>17.100000000000001</v>
      </c>
      <c r="G10" s="111"/>
      <c r="H10" s="111"/>
      <c r="I10" s="91">
        <v>184</v>
      </c>
      <c r="J10" s="91">
        <v>10</v>
      </c>
      <c r="K10" s="81">
        <v>194</v>
      </c>
      <c r="L10" s="91">
        <v>10</v>
      </c>
      <c r="M10" s="81">
        <v>194</v>
      </c>
      <c r="N10" s="81" t="s">
        <v>79</v>
      </c>
      <c r="O10" s="91">
        <v>279</v>
      </c>
      <c r="P10" s="183">
        <f t="shared" si="11"/>
        <v>0.69534050179211471</v>
      </c>
      <c r="Q10" s="91">
        <v>84</v>
      </c>
      <c r="R10" s="91">
        <v>47</v>
      </c>
      <c r="S10" s="102">
        <v>3275415</v>
      </c>
      <c r="T10" s="103">
        <v>2914112</v>
      </c>
      <c r="U10" s="102">
        <v>2642708</v>
      </c>
      <c r="V10" s="102">
        <v>271404</v>
      </c>
      <c r="W10" s="185">
        <f t="shared" si="12"/>
        <v>9.3134375068631536E-2</v>
      </c>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row>
    <row r="11" spans="1:220" s="71" customFormat="1">
      <c r="A11" s="95" t="s">
        <v>80</v>
      </c>
      <c r="B11" s="361">
        <v>14</v>
      </c>
      <c r="C11" s="361">
        <v>7.3</v>
      </c>
      <c r="D11" s="108">
        <f>B11+C11</f>
        <v>21.3</v>
      </c>
      <c r="E11" s="109">
        <f t="shared" ref="E11:E22" si="13">ROUND((O11/B11), 0)</f>
        <v>19</v>
      </c>
      <c r="F11" s="109">
        <f t="shared" ref="F11:F22" si="14">ROUND((O11/D11), 0)</f>
        <v>13</v>
      </c>
      <c r="G11" s="113"/>
      <c r="H11" s="113"/>
      <c r="I11" s="361">
        <v>221</v>
      </c>
      <c r="J11" s="361">
        <v>12</v>
      </c>
      <c r="K11" s="108">
        <f>I11+J11</f>
        <v>233</v>
      </c>
      <c r="L11" s="361">
        <v>12</v>
      </c>
      <c r="M11" s="109">
        <f>I11+L11</f>
        <v>233</v>
      </c>
      <c r="N11" s="81" t="s">
        <v>79</v>
      </c>
      <c r="O11" s="361">
        <v>271</v>
      </c>
      <c r="P11" s="183">
        <f t="shared" si="11"/>
        <v>0.85977859778597787</v>
      </c>
      <c r="Q11" s="361">
        <v>70</v>
      </c>
      <c r="R11" s="361">
        <v>19</v>
      </c>
      <c r="S11" s="112">
        <v>2214426</v>
      </c>
      <c r="T11" s="110">
        <f t="shared" ref="T11:T22" si="15">SUM(U11:V11)</f>
        <v>2609004</v>
      </c>
      <c r="U11" s="112">
        <v>2359004</v>
      </c>
      <c r="V11" s="112">
        <v>250000</v>
      </c>
      <c r="W11" s="185">
        <f t="shared" si="12"/>
        <v>9.5822007172085596E-2</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row>
    <row r="12" spans="1:220" s="71" customFormat="1">
      <c r="A12" s="90" t="s">
        <v>86</v>
      </c>
      <c r="B12" s="361">
        <v>13</v>
      </c>
      <c r="C12" s="361">
        <v>7.5</v>
      </c>
      <c r="D12" s="108">
        <f>B12+C12</f>
        <v>20.5</v>
      </c>
      <c r="E12" s="109">
        <f t="shared" si="13"/>
        <v>20</v>
      </c>
      <c r="F12" s="109">
        <f t="shared" si="14"/>
        <v>13</v>
      </c>
      <c r="G12" s="113"/>
      <c r="H12" s="113"/>
      <c r="I12" s="361">
        <v>164</v>
      </c>
      <c r="J12" s="361">
        <v>4</v>
      </c>
      <c r="K12" s="108">
        <f>I12+J12</f>
        <v>168</v>
      </c>
      <c r="L12" s="361">
        <v>2.5</v>
      </c>
      <c r="M12" s="109">
        <f>I12+L12</f>
        <v>166.5</v>
      </c>
      <c r="N12" s="81" t="s">
        <v>79</v>
      </c>
      <c r="O12" s="361">
        <v>259</v>
      </c>
      <c r="P12" s="183">
        <f t="shared" si="11"/>
        <v>0.6428571428571429</v>
      </c>
      <c r="Q12" s="361">
        <v>70</v>
      </c>
      <c r="R12" s="361">
        <v>19</v>
      </c>
      <c r="S12" s="112">
        <v>2311082</v>
      </c>
      <c r="T12" s="110">
        <f t="shared" si="15"/>
        <v>2480376.8199999998</v>
      </c>
      <c r="U12" s="112">
        <v>2330376.8199999998</v>
      </c>
      <c r="V12" s="112">
        <v>150000</v>
      </c>
      <c r="W12" s="185">
        <f t="shared" si="12"/>
        <v>6.0474682229936343E-2</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row>
    <row r="13" spans="1:220" s="71" customFormat="1">
      <c r="A13" s="90" t="s">
        <v>81</v>
      </c>
      <c r="B13" s="361">
        <v>12</v>
      </c>
      <c r="C13" s="361">
        <v>1.83</v>
      </c>
      <c r="D13" s="108">
        <f t="shared" ref="D13:D22" si="16">SUM(B13:C13)</f>
        <v>13.83</v>
      </c>
      <c r="E13" s="109">
        <f t="shared" si="13"/>
        <v>21</v>
      </c>
      <c r="F13" s="109">
        <f t="shared" si="14"/>
        <v>18</v>
      </c>
      <c r="G13" s="113"/>
      <c r="H13" s="113"/>
      <c r="I13" s="361">
        <v>167</v>
      </c>
      <c r="J13" s="361">
        <v>5</v>
      </c>
      <c r="K13" s="108">
        <f t="shared" ref="K13:K22" si="17">SUM(I13:J13)</f>
        <v>172</v>
      </c>
      <c r="L13" s="361">
        <v>2.75</v>
      </c>
      <c r="M13" s="109">
        <f t="shared" ref="M13:M22" si="18">(I13+L13)</f>
        <v>169.75</v>
      </c>
      <c r="N13" s="81" t="s">
        <v>79</v>
      </c>
      <c r="O13" s="361">
        <v>254</v>
      </c>
      <c r="P13" s="183">
        <f t="shared" si="11"/>
        <v>0.66830708661417326</v>
      </c>
      <c r="Q13" s="361">
        <v>68</v>
      </c>
      <c r="R13" s="361">
        <v>23</v>
      </c>
      <c r="S13" s="112">
        <v>2021869</v>
      </c>
      <c r="T13" s="110">
        <f t="shared" si="15"/>
        <v>2451272.38</v>
      </c>
      <c r="U13" s="112">
        <v>2201272.38</v>
      </c>
      <c r="V13" s="112">
        <v>250000</v>
      </c>
      <c r="W13" s="185">
        <f t="shared" si="12"/>
        <v>0.10198785008135244</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row>
    <row r="14" spans="1:220" s="71" customFormat="1">
      <c r="A14" s="90" t="s">
        <v>82</v>
      </c>
      <c r="B14" s="361">
        <v>12</v>
      </c>
      <c r="C14" s="361">
        <v>6.83</v>
      </c>
      <c r="D14" s="108">
        <f t="shared" si="16"/>
        <v>18.829999999999998</v>
      </c>
      <c r="E14" s="109">
        <f t="shared" si="13"/>
        <v>19</v>
      </c>
      <c r="F14" s="109">
        <f t="shared" si="14"/>
        <v>12</v>
      </c>
      <c r="G14" s="113"/>
      <c r="H14" s="113"/>
      <c r="I14" s="361">
        <v>149</v>
      </c>
      <c r="J14" s="361">
        <v>10</v>
      </c>
      <c r="K14" s="108">
        <f t="shared" si="17"/>
        <v>159</v>
      </c>
      <c r="L14" s="361">
        <v>5.45</v>
      </c>
      <c r="M14" s="109">
        <f t="shared" si="18"/>
        <v>154.44999999999999</v>
      </c>
      <c r="N14" s="81" t="s">
        <v>79</v>
      </c>
      <c r="O14" s="361">
        <v>228.45</v>
      </c>
      <c r="P14" s="183">
        <f t="shared" si="11"/>
        <v>0.67607791639308379</v>
      </c>
      <c r="Q14" s="361">
        <v>71</v>
      </c>
      <c r="R14" s="361">
        <v>34</v>
      </c>
      <c r="S14" s="112">
        <v>1592382.56</v>
      </c>
      <c r="T14" s="110">
        <f t="shared" si="15"/>
        <v>1864412</v>
      </c>
      <c r="U14" s="112">
        <v>1800412</v>
      </c>
      <c r="V14" s="112">
        <v>64000</v>
      </c>
      <c r="W14" s="185">
        <f t="shared" si="12"/>
        <v>3.4327176611178213E-2</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row>
    <row r="15" spans="1:220" s="71" customFormat="1">
      <c r="A15" s="90" t="s">
        <v>83</v>
      </c>
      <c r="B15" s="361">
        <v>12</v>
      </c>
      <c r="C15" s="361">
        <v>2.77</v>
      </c>
      <c r="D15" s="108">
        <f t="shared" si="16"/>
        <v>14.77</v>
      </c>
      <c r="E15" s="109">
        <f t="shared" si="13"/>
        <v>19</v>
      </c>
      <c r="F15" s="109">
        <f t="shared" si="14"/>
        <v>15</v>
      </c>
      <c r="G15" s="113"/>
      <c r="H15" s="113"/>
      <c r="I15" s="361">
        <v>136</v>
      </c>
      <c r="J15" s="361">
        <v>10</v>
      </c>
      <c r="K15" s="108">
        <f t="shared" si="17"/>
        <v>146</v>
      </c>
      <c r="L15" s="361">
        <v>7</v>
      </c>
      <c r="M15" s="109">
        <f t="shared" si="18"/>
        <v>143</v>
      </c>
      <c r="N15" s="81" t="s">
        <v>79</v>
      </c>
      <c r="O15" s="361">
        <v>224.5</v>
      </c>
      <c r="P15" s="183">
        <f t="shared" si="11"/>
        <v>0.63697104677060135</v>
      </c>
      <c r="Q15" s="361">
        <v>54</v>
      </c>
      <c r="R15" s="361">
        <v>21</v>
      </c>
      <c r="S15" s="112">
        <v>1560877</v>
      </c>
      <c r="T15" s="110">
        <f t="shared" si="15"/>
        <v>1602298</v>
      </c>
      <c r="U15" s="112">
        <v>1583298</v>
      </c>
      <c r="V15" s="112">
        <v>19000</v>
      </c>
      <c r="W15" s="185">
        <f t="shared" si="12"/>
        <v>1.185796899203519E-2</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row>
    <row r="16" spans="1:220" s="71" customFormat="1">
      <c r="A16" s="90" t="s">
        <v>84</v>
      </c>
      <c r="B16" s="361">
        <v>11</v>
      </c>
      <c r="C16" s="361">
        <v>1.44</v>
      </c>
      <c r="D16" s="108">
        <f t="shared" si="16"/>
        <v>12.44</v>
      </c>
      <c r="E16" s="109">
        <f t="shared" si="13"/>
        <v>20</v>
      </c>
      <c r="F16" s="109">
        <f t="shared" si="14"/>
        <v>18</v>
      </c>
      <c r="G16" s="113"/>
      <c r="H16" s="113"/>
      <c r="I16" s="361">
        <v>134</v>
      </c>
      <c r="J16" s="361">
        <v>13</v>
      </c>
      <c r="K16" s="108">
        <f t="shared" si="17"/>
        <v>147</v>
      </c>
      <c r="L16" s="361">
        <v>6.5</v>
      </c>
      <c r="M16" s="109">
        <f t="shared" si="18"/>
        <v>140.5</v>
      </c>
      <c r="N16" s="81" t="s">
        <v>79</v>
      </c>
      <c r="O16" s="361">
        <v>220</v>
      </c>
      <c r="P16" s="183">
        <f t="shared" si="11"/>
        <v>0.63863636363636367</v>
      </c>
      <c r="Q16" s="361">
        <v>65</v>
      </c>
      <c r="R16" s="361">
        <v>14</v>
      </c>
      <c r="S16" s="112">
        <v>1828211</v>
      </c>
      <c r="T16" s="110">
        <f t="shared" si="15"/>
        <v>1831711</v>
      </c>
      <c r="U16" s="112">
        <v>1828211</v>
      </c>
      <c r="V16" s="112">
        <v>3500</v>
      </c>
      <c r="W16" s="185">
        <f t="shared" si="12"/>
        <v>1.9107817772563466E-3</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row>
    <row r="17" spans="1:57" s="71" customFormat="1">
      <c r="A17" s="90">
        <v>2007</v>
      </c>
      <c r="B17" s="195">
        <v>12</v>
      </c>
      <c r="C17" s="195">
        <v>0.88</v>
      </c>
      <c r="D17" s="194">
        <f t="shared" si="16"/>
        <v>12.88</v>
      </c>
      <c r="E17" s="109">
        <f t="shared" si="13"/>
        <v>18</v>
      </c>
      <c r="F17" s="109">
        <f t="shared" si="14"/>
        <v>17</v>
      </c>
      <c r="G17" s="113"/>
      <c r="H17" s="113"/>
      <c r="I17" s="195">
        <v>115</v>
      </c>
      <c r="J17" s="195">
        <v>9</v>
      </c>
      <c r="K17" s="194">
        <f t="shared" si="17"/>
        <v>124</v>
      </c>
      <c r="L17" s="195">
        <v>4.5</v>
      </c>
      <c r="M17" s="109">
        <f t="shared" si="18"/>
        <v>119.5</v>
      </c>
      <c r="N17" s="196" t="s">
        <v>79</v>
      </c>
      <c r="O17" s="195">
        <v>215</v>
      </c>
      <c r="P17" s="183">
        <f t="shared" si="11"/>
        <v>0.55581395348837215</v>
      </c>
      <c r="Q17" s="195">
        <v>53</v>
      </c>
      <c r="R17" s="361">
        <v>32</v>
      </c>
      <c r="S17" s="192">
        <v>1668399</v>
      </c>
      <c r="T17" s="110">
        <f t="shared" si="15"/>
        <v>1668332</v>
      </c>
      <c r="U17" s="192">
        <v>1558532</v>
      </c>
      <c r="V17" s="192">
        <v>109800</v>
      </c>
      <c r="W17" s="185">
        <f t="shared" si="12"/>
        <v>6.5814238412977746E-2</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row>
    <row r="18" spans="1:57" s="71" customFormat="1">
      <c r="A18" s="90">
        <v>2006</v>
      </c>
      <c r="B18" s="195">
        <v>13</v>
      </c>
      <c r="C18" s="195">
        <v>1</v>
      </c>
      <c r="D18" s="194">
        <f t="shared" si="16"/>
        <v>14</v>
      </c>
      <c r="E18" s="109">
        <f t="shared" si="13"/>
        <v>18</v>
      </c>
      <c r="F18" s="109">
        <f t="shared" si="14"/>
        <v>17</v>
      </c>
      <c r="G18" s="113"/>
      <c r="H18" s="113"/>
      <c r="I18" s="195">
        <v>136</v>
      </c>
      <c r="J18" s="195">
        <v>9</v>
      </c>
      <c r="K18" s="194">
        <f t="shared" si="17"/>
        <v>145</v>
      </c>
      <c r="L18" s="195">
        <v>3</v>
      </c>
      <c r="M18" s="109">
        <f t="shared" si="18"/>
        <v>139</v>
      </c>
      <c r="N18" s="196" t="s">
        <v>79</v>
      </c>
      <c r="O18" s="195">
        <v>237</v>
      </c>
      <c r="P18" s="183">
        <f t="shared" si="11"/>
        <v>0.5864978902953587</v>
      </c>
      <c r="Q18" s="195">
        <v>82</v>
      </c>
      <c r="R18" s="361">
        <v>37</v>
      </c>
      <c r="S18" s="192">
        <v>1565723</v>
      </c>
      <c r="T18" s="110">
        <f t="shared" si="15"/>
        <v>1603229</v>
      </c>
      <c r="U18" s="192">
        <v>1594229</v>
      </c>
      <c r="V18" s="192">
        <v>9000</v>
      </c>
      <c r="W18" s="185">
        <f t="shared" si="12"/>
        <v>5.613670910393961E-3</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row>
    <row r="19" spans="1:57" s="71" customFormat="1">
      <c r="A19" s="90">
        <v>2005</v>
      </c>
      <c r="B19" s="361">
        <v>13</v>
      </c>
      <c r="C19" s="361">
        <v>2</v>
      </c>
      <c r="D19" s="194">
        <f t="shared" si="16"/>
        <v>15</v>
      </c>
      <c r="E19" s="109">
        <f t="shared" si="13"/>
        <v>16</v>
      </c>
      <c r="F19" s="109">
        <f t="shared" si="14"/>
        <v>14</v>
      </c>
      <c r="G19" s="113"/>
      <c r="H19" s="113"/>
      <c r="I19" s="361">
        <v>118</v>
      </c>
      <c r="J19" s="361">
        <v>5</v>
      </c>
      <c r="K19" s="194">
        <f t="shared" si="17"/>
        <v>123</v>
      </c>
      <c r="L19" s="361">
        <v>2</v>
      </c>
      <c r="M19" s="109">
        <f t="shared" si="18"/>
        <v>120</v>
      </c>
      <c r="N19" s="196" t="s">
        <v>79</v>
      </c>
      <c r="O19" s="361">
        <v>207</v>
      </c>
      <c r="P19" s="183">
        <f t="shared" si="11"/>
        <v>0.57971014492753625</v>
      </c>
      <c r="Q19" s="361">
        <v>56</v>
      </c>
      <c r="R19" s="361">
        <v>22</v>
      </c>
      <c r="S19" s="192">
        <v>1635498.8</v>
      </c>
      <c r="T19" s="110">
        <f t="shared" si="15"/>
        <v>1669722.65</v>
      </c>
      <c r="U19" s="192">
        <v>1483138</v>
      </c>
      <c r="V19" s="192">
        <v>186584.65</v>
      </c>
      <c r="W19" s="185">
        <f t="shared" si="12"/>
        <v>0.11174589384650199</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row>
    <row r="20" spans="1:57" s="71" customFormat="1">
      <c r="A20" s="90">
        <v>2004</v>
      </c>
      <c r="B20" s="195">
        <v>11</v>
      </c>
      <c r="C20" s="195">
        <v>2</v>
      </c>
      <c r="D20" s="194">
        <f t="shared" si="16"/>
        <v>13</v>
      </c>
      <c r="E20" s="109">
        <f t="shared" si="13"/>
        <v>22</v>
      </c>
      <c r="F20" s="109">
        <f t="shared" si="14"/>
        <v>18</v>
      </c>
      <c r="G20" s="113"/>
      <c r="H20" s="113"/>
      <c r="I20" s="195">
        <v>132</v>
      </c>
      <c r="J20" s="195">
        <v>20</v>
      </c>
      <c r="K20" s="194">
        <f t="shared" si="17"/>
        <v>152</v>
      </c>
      <c r="L20" s="195">
        <v>10</v>
      </c>
      <c r="M20" s="109">
        <f t="shared" si="18"/>
        <v>142</v>
      </c>
      <c r="N20" s="196" t="s">
        <v>79</v>
      </c>
      <c r="O20" s="195">
        <v>240</v>
      </c>
      <c r="P20" s="183">
        <f t="shared" si="11"/>
        <v>0.59166666666666667</v>
      </c>
      <c r="Q20" s="195">
        <v>80</v>
      </c>
      <c r="R20" s="361">
        <v>26</v>
      </c>
      <c r="S20" s="192">
        <v>1413651</v>
      </c>
      <c r="T20" s="110">
        <f t="shared" si="15"/>
        <v>1397957</v>
      </c>
      <c r="U20" s="192">
        <v>1324951</v>
      </c>
      <c r="V20" s="192">
        <v>73006</v>
      </c>
      <c r="W20" s="185">
        <f t="shared" si="12"/>
        <v>5.2223351648155128E-2</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row>
    <row r="21" spans="1:57" s="71" customFormat="1">
      <c r="A21" s="90">
        <v>2003</v>
      </c>
      <c r="B21" s="195">
        <v>13</v>
      </c>
      <c r="C21" s="195">
        <v>1</v>
      </c>
      <c r="D21" s="194">
        <f t="shared" si="16"/>
        <v>14</v>
      </c>
      <c r="E21" s="109">
        <f t="shared" si="13"/>
        <v>14</v>
      </c>
      <c r="F21" s="109">
        <f t="shared" si="14"/>
        <v>13</v>
      </c>
      <c r="G21" s="113"/>
      <c r="H21" s="113"/>
      <c r="I21" s="195">
        <v>62</v>
      </c>
      <c r="J21" s="195">
        <v>63</v>
      </c>
      <c r="K21" s="194">
        <f t="shared" si="17"/>
        <v>125</v>
      </c>
      <c r="L21" s="195">
        <v>40</v>
      </c>
      <c r="M21" s="109">
        <f t="shared" si="18"/>
        <v>102</v>
      </c>
      <c r="N21" s="196" t="s">
        <v>79</v>
      </c>
      <c r="O21" s="195">
        <v>178</v>
      </c>
      <c r="P21" s="183">
        <f t="shared" si="11"/>
        <v>0.5730337078651685</v>
      </c>
      <c r="Q21" s="195">
        <v>43</v>
      </c>
      <c r="R21" s="361">
        <v>18</v>
      </c>
      <c r="S21" s="192">
        <v>1274603</v>
      </c>
      <c r="T21" s="110">
        <f t="shared" si="15"/>
        <v>1310663</v>
      </c>
      <c r="U21" s="192">
        <v>1234404</v>
      </c>
      <c r="V21" s="192">
        <v>76259</v>
      </c>
      <c r="W21" s="185">
        <f t="shared" si="12"/>
        <v>5.818353001496189E-2</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row>
    <row r="22" spans="1:57" s="71" customFormat="1">
      <c r="A22" s="90">
        <v>2002</v>
      </c>
      <c r="B22" s="195">
        <v>11</v>
      </c>
      <c r="C22" s="195">
        <f>ROUND(1.7, 0)</f>
        <v>2</v>
      </c>
      <c r="D22" s="194">
        <f t="shared" si="16"/>
        <v>13</v>
      </c>
      <c r="E22" s="109">
        <f t="shared" si="13"/>
        <v>14</v>
      </c>
      <c r="F22" s="109">
        <f t="shared" si="14"/>
        <v>12</v>
      </c>
      <c r="G22" s="113"/>
      <c r="H22" s="113"/>
      <c r="I22" s="195">
        <v>64</v>
      </c>
      <c r="J22" s="195">
        <v>64</v>
      </c>
      <c r="K22" s="194">
        <f t="shared" si="17"/>
        <v>128</v>
      </c>
      <c r="L22" s="195">
        <f>ROUND(40.75, 0)</f>
        <v>41</v>
      </c>
      <c r="M22" s="109">
        <f t="shared" si="18"/>
        <v>105</v>
      </c>
      <c r="N22" s="196" t="s">
        <v>79</v>
      </c>
      <c r="O22" s="195">
        <f>ROUND(157.68, 0)</f>
        <v>158</v>
      </c>
      <c r="P22" s="183">
        <f t="shared" si="11"/>
        <v>0.66455696202531644</v>
      </c>
      <c r="Q22" s="195">
        <v>41</v>
      </c>
      <c r="R22" s="361">
        <v>15</v>
      </c>
      <c r="S22" s="192">
        <v>1295612</v>
      </c>
      <c r="T22" s="110">
        <f t="shared" si="15"/>
        <v>1282842</v>
      </c>
      <c r="U22" s="192">
        <v>1193987</v>
      </c>
      <c r="V22" s="192">
        <v>88855</v>
      </c>
      <c r="W22" s="185">
        <f t="shared" si="12"/>
        <v>6.9264180623958366E-2</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row>
    <row r="23" spans="1:57" s="72" customFormat="1">
      <c r="A23" s="666" t="s">
        <v>154</v>
      </c>
      <c r="B23" s="654"/>
      <c r="C23" s="654"/>
      <c r="D23" s="654"/>
      <c r="E23" s="654"/>
      <c r="F23" s="654"/>
      <c r="G23" s="654"/>
      <c r="H23" s="654"/>
      <c r="I23" s="654"/>
      <c r="J23" s="654"/>
      <c r="K23" s="654"/>
      <c r="L23" s="654"/>
      <c r="M23" s="654"/>
      <c r="N23" s="654"/>
      <c r="O23" s="654"/>
      <c r="P23" s="654"/>
      <c r="Q23" s="654"/>
      <c r="R23" s="654"/>
      <c r="S23" s="654"/>
      <c r="T23" s="654"/>
      <c r="U23" s="654"/>
      <c r="V23" s="654"/>
      <c r="W23" s="654"/>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row>
    <row r="24" spans="1:57" s="71" customFormat="1">
      <c r="A24" s="654" t="s">
        <v>137</v>
      </c>
      <c r="B24" s="654"/>
      <c r="C24" s="654"/>
      <c r="D24" s="654"/>
      <c r="E24" s="654"/>
      <c r="F24" s="654"/>
      <c r="G24" s="654"/>
      <c r="H24" s="654"/>
      <c r="I24" s="654"/>
      <c r="J24" s="654"/>
      <c r="K24" s="654"/>
      <c r="L24" s="654"/>
      <c r="M24" s="654"/>
      <c r="N24" s="654"/>
      <c r="O24" s="654"/>
      <c r="P24" s="654"/>
      <c r="Q24" s="654"/>
      <c r="R24" s="654"/>
      <c r="S24" s="654"/>
      <c r="T24" s="654"/>
      <c r="U24" s="654"/>
      <c r="V24" s="654"/>
      <c r="W24" s="654"/>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row>
    <row r="25" spans="1:57" s="13" customFormat="1">
      <c r="A25" s="655" t="s">
        <v>149</v>
      </c>
      <c r="B25" s="656"/>
      <c r="C25" s="656"/>
      <c r="D25" s="656"/>
      <c r="E25" s="656"/>
      <c r="F25" s="656"/>
      <c r="G25" s="656"/>
      <c r="H25" s="656"/>
      <c r="I25" s="656"/>
      <c r="J25" s="656"/>
      <c r="K25" s="656"/>
      <c r="L25" s="656"/>
      <c r="M25" s="656"/>
      <c r="N25" s="656"/>
      <c r="O25" s="656"/>
      <c r="P25" s="656"/>
      <c r="Q25" s="656"/>
      <c r="R25" s="656"/>
      <c r="S25" s="656"/>
      <c r="T25" s="656"/>
      <c r="U25" s="656"/>
      <c r="V25" s="656"/>
      <c r="W25" s="65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row>
    <row r="26" spans="1:57" s="13" customFormat="1">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row>
    <row r="27" spans="1:57" s="14" customFormat="1">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row>
    <row r="28" spans="1:57" s="14" customFormat="1">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row>
    <row r="29" spans="1:57" s="14" customFormat="1">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row>
    <row r="30" spans="1:57" s="14" customFormat="1">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row>
    <row r="31" spans="1:57" s="14" customFormat="1">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row>
    <row r="32" spans="1:57" s="14" customFormat="1">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row>
    <row r="33" spans="24:57" s="14" customFormat="1">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row>
    <row r="34" spans="24:57" s="14" customFormat="1">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row>
  </sheetData>
  <mergeCells count="3">
    <mergeCell ref="A23:W23"/>
    <mergeCell ref="A24:W24"/>
    <mergeCell ref="A25:W25"/>
  </mergeCells>
  <printOptions headings="1" gridLines="1"/>
  <pageMargins left="0.5" right="0.5" top="0.5" bottom="0.5" header="0" footer="0"/>
  <pageSetup paperSize="5" scale="66" orientation="landscape" horizontalDpi="1200" verticalDpi="1200" r:id="rId1"/>
  <legacy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L18"/>
  <sheetViews>
    <sheetView workbookViewId="0">
      <selection activeCell="S15" sqref="S15"/>
    </sheetView>
  </sheetViews>
  <sheetFormatPr defaultColWidth="8.85546875" defaultRowHeight="15"/>
  <cols>
    <col min="1" max="1" width="9.42578125" customWidth="1"/>
    <col min="2" max="2" width="8.7109375" customWidth="1"/>
    <col min="3" max="3" width="10" customWidth="1"/>
    <col min="4" max="4" width="9.85546875" customWidth="1"/>
    <col min="5" max="5" width="11.85546875" customWidth="1"/>
    <col min="6" max="8" width="12.140625" customWidth="1"/>
    <col min="10" max="11" width="11.85546875" bestFit="1" customWidth="1"/>
    <col min="12" max="12" width="12.28515625" bestFit="1" customWidth="1"/>
    <col min="13" max="13" width="13.140625" bestFit="1" customWidth="1"/>
    <col min="14" max="14" width="11.7109375" customWidth="1"/>
    <col min="15" max="15" width="13.42578125" bestFit="1" customWidth="1"/>
    <col min="16" max="16" width="14.28515625" customWidth="1"/>
    <col min="17" max="17" width="12.42578125" bestFit="1" customWidth="1"/>
    <col min="18" max="18" width="9" bestFit="1" customWidth="1"/>
    <col min="19" max="19" width="13" customWidth="1"/>
    <col min="20" max="21" width="13.28515625" bestFit="1" customWidth="1"/>
    <col min="22" max="22" width="11.7109375" bestFit="1" customWidth="1"/>
    <col min="23" max="23" width="12.85546875" bestFit="1" customWidth="1"/>
    <col min="24" max="68" width="8.85546875" style="376"/>
  </cols>
  <sheetData>
    <row r="1" spans="1:220" s="1" customFormat="1" ht="18.75">
      <c r="A1" s="1" t="s">
        <v>153</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220" s="587" customFormat="1">
      <c r="A3" s="6">
        <v>2021</v>
      </c>
      <c r="B3" s="583">
        <v>23</v>
      </c>
      <c r="C3" s="583">
        <v>5.93</v>
      </c>
      <c r="D3" s="584">
        <v>28.93</v>
      </c>
      <c r="E3" s="532">
        <f>ROUND((O3/B3), 0)</f>
        <v>9</v>
      </c>
      <c r="F3" s="532">
        <f>ROUND((O3/D3), 0)</f>
        <v>7</v>
      </c>
      <c r="G3" s="583">
        <v>24</v>
      </c>
      <c r="H3" s="583">
        <v>3</v>
      </c>
      <c r="I3" s="583">
        <v>23</v>
      </c>
      <c r="J3" s="583">
        <v>30</v>
      </c>
      <c r="K3" s="532">
        <v>52</v>
      </c>
      <c r="L3" s="583">
        <v>15</v>
      </c>
      <c r="M3" s="532">
        <f>SUM(I3,L3)</f>
        <v>38</v>
      </c>
      <c r="N3" s="583">
        <v>0</v>
      </c>
      <c r="O3" s="583">
        <v>213</v>
      </c>
      <c r="P3" s="559">
        <f>M3/O3</f>
        <v>0.17840375586854459</v>
      </c>
      <c r="Q3" s="583">
        <v>24</v>
      </c>
      <c r="R3" s="583">
        <v>161</v>
      </c>
      <c r="S3" s="585">
        <v>3088393.74</v>
      </c>
      <c r="T3" s="588">
        <f>SUM(U3+V3)</f>
        <v>8759460</v>
      </c>
      <c r="U3" s="589">
        <v>8002800</v>
      </c>
      <c r="V3" s="589">
        <v>756660</v>
      </c>
      <c r="W3" s="559">
        <f>V3/T3</f>
        <v>8.6382037248871502E-2</v>
      </c>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row>
    <row r="4" spans="1:220" s="17" customFormat="1">
      <c r="A4" s="417">
        <v>2020</v>
      </c>
      <c r="B4" s="637">
        <v>20</v>
      </c>
      <c r="C4" s="637">
        <v>2.4</v>
      </c>
      <c r="D4" s="638">
        <f>SUM(B4:C4)</f>
        <v>22.4</v>
      </c>
      <c r="E4" s="23">
        <f>ROUND((O4/B4), 0)</f>
        <v>10</v>
      </c>
      <c r="F4" s="23">
        <f>ROUND((O4/D4), 0)</f>
        <v>9</v>
      </c>
      <c r="G4" s="637">
        <v>20</v>
      </c>
      <c r="H4" s="637">
        <v>2.4</v>
      </c>
      <c r="I4" s="637">
        <v>23</v>
      </c>
      <c r="J4" s="637">
        <v>30</v>
      </c>
      <c r="K4" s="23">
        <f>SUM(I4:J4)</f>
        <v>53</v>
      </c>
      <c r="L4" s="637">
        <f>J4/2</f>
        <v>15</v>
      </c>
      <c r="M4" s="23">
        <f>SUM(I4,L4)</f>
        <v>38</v>
      </c>
      <c r="N4" s="637">
        <v>0</v>
      </c>
      <c r="O4" s="637">
        <v>205</v>
      </c>
      <c r="P4" s="582">
        <f>M4/O4</f>
        <v>0.18536585365853658</v>
      </c>
      <c r="Q4" s="637">
        <v>21</v>
      </c>
      <c r="R4" s="637">
        <v>136</v>
      </c>
      <c r="S4" s="639" t="s">
        <v>221</v>
      </c>
      <c r="T4" s="640">
        <f xml:space="preserve"> (U4+V4)</f>
        <v>9122770</v>
      </c>
      <c r="U4" s="641">
        <v>8199786</v>
      </c>
      <c r="V4" s="641">
        <v>922984</v>
      </c>
      <c r="W4" s="582">
        <f>V4/T4</f>
        <v>0.10117365668541463</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row>
    <row r="5" spans="1:220" s="476" customFormat="1">
      <c r="A5" s="417">
        <v>2019</v>
      </c>
      <c r="B5" s="480">
        <v>19</v>
      </c>
      <c r="C5" s="480">
        <v>0.6</v>
      </c>
      <c r="D5" s="437">
        <f>SUM(B5:C5)</f>
        <v>19.600000000000001</v>
      </c>
      <c r="E5" s="23">
        <f>ROUND((O5/B5), 0)</f>
        <v>10</v>
      </c>
      <c r="F5" s="23">
        <f>ROUND((O5/D5), 0)</f>
        <v>9</v>
      </c>
      <c r="G5" s="480">
        <v>19</v>
      </c>
      <c r="H5" s="480">
        <v>5</v>
      </c>
      <c r="I5" s="480">
        <v>13</v>
      </c>
      <c r="J5" s="480">
        <v>33</v>
      </c>
      <c r="K5" s="23">
        <f>SUM(I5:J5)</f>
        <v>46</v>
      </c>
      <c r="L5" s="583">
        <f t="shared" ref="L5" si="0">J5/2</f>
        <v>16.5</v>
      </c>
      <c r="M5" s="23">
        <f>SUM(I5,L5)</f>
        <v>29.5</v>
      </c>
      <c r="N5" s="480">
        <v>0</v>
      </c>
      <c r="O5" s="480">
        <v>184</v>
      </c>
      <c r="P5" s="582">
        <f>M5/O5</f>
        <v>0.16032608695652173</v>
      </c>
      <c r="Q5" s="480">
        <v>21</v>
      </c>
      <c r="R5" s="480">
        <v>139</v>
      </c>
      <c r="S5" s="504" t="s">
        <v>200</v>
      </c>
      <c r="T5" s="581">
        <f>SUM(U5+V5)</f>
        <v>6612394</v>
      </c>
      <c r="U5" s="504">
        <v>5609224</v>
      </c>
      <c r="V5" s="504">
        <v>1003170</v>
      </c>
      <c r="W5" s="582">
        <f>V5/T5</f>
        <v>0.15171056050199067</v>
      </c>
    </row>
    <row r="6" spans="1:220" s="17" customFormat="1">
      <c r="A6" s="33">
        <v>2018</v>
      </c>
      <c r="B6" s="20">
        <v>19</v>
      </c>
      <c r="C6" s="20">
        <v>0.6</v>
      </c>
      <c r="D6" s="29">
        <f>SUM(B6:C6)</f>
        <v>19.600000000000001</v>
      </c>
      <c r="E6" s="172">
        <f>ROUND((O6/B6), 0)</f>
        <v>9</v>
      </c>
      <c r="F6" s="172">
        <f>ROUND((O6/D6), 0)</f>
        <v>9</v>
      </c>
      <c r="G6" s="20">
        <v>19</v>
      </c>
      <c r="H6" s="20">
        <v>5</v>
      </c>
      <c r="I6" s="20">
        <v>11</v>
      </c>
      <c r="J6" s="20">
        <v>43</v>
      </c>
      <c r="K6" s="29">
        <f t="shared" ref="K6" si="1">SUM(I6:J6)</f>
        <v>54</v>
      </c>
      <c r="L6" s="20">
        <v>22</v>
      </c>
      <c r="M6" s="172">
        <f>(I6+L6)</f>
        <v>33</v>
      </c>
      <c r="N6" s="20">
        <v>0</v>
      </c>
      <c r="O6" s="20">
        <v>179</v>
      </c>
      <c r="P6" s="183">
        <f t="shared" ref="P6" si="2">M6/O6</f>
        <v>0.18435754189944134</v>
      </c>
      <c r="Q6" s="20">
        <v>21</v>
      </c>
      <c r="R6" s="20">
        <v>121</v>
      </c>
      <c r="S6" s="24" t="s">
        <v>185</v>
      </c>
      <c r="T6" s="30">
        <f>SUM(U6:V6)</f>
        <v>6230540</v>
      </c>
      <c r="U6" s="24">
        <v>4732557</v>
      </c>
      <c r="V6" s="24">
        <v>1497983</v>
      </c>
      <c r="W6" s="185">
        <f t="shared" ref="W6" si="3">V6/T6</f>
        <v>0.24042586998879711</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11">
        <v>2017</v>
      </c>
      <c r="B7" s="20">
        <v>19</v>
      </c>
      <c r="C7" s="20">
        <v>0.6</v>
      </c>
      <c r="D7" s="34">
        <f>SUM(B7:C7)</f>
        <v>19.600000000000001</v>
      </c>
      <c r="E7" s="34">
        <f>ROUND((O7/B7), 0)</f>
        <v>9</v>
      </c>
      <c r="F7" s="34">
        <f>ROUND((O7/D7), 0)</f>
        <v>9</v>
      </c>
      <c r="G7" s="20">
        <v>3</v>
      </c>
      <c r="H7" s="20">
        <v>1</v>
      </c>
      <c r="I7" s="20">
        <v>15</v>
      </c>
      <c r="J7" s="20">
        <v>35</v>
      </c>
      <c r="K7" s="34">
        <f>SUM(I7:J7)</f>
        <v>50</v>
      </c>
      <c r="L7" s="20">
        <f>J7/2</f>
        <v>17.5</v>
      </c>
      <c r="M7" s="36">
        <f>(I7+L7)</f>
        <v>32.5</v>
      </c>
      <c r="N7" s="344">
        <v>0</v>
      </c>
      <c r="O7" s="344">
        <v>177.5</v>
      </c>
      <c r="P7" s="183">
        <f>M7/O7</f>
        <v>0.18309859154929578</v>
      </c>
      <c r="Q7" s="20">
        <v>22</v>
      </c>
      <c r="R7" s="20">
        <v>118</v>
      </c>
      <c r="S7" s="300">
        <v>3122463</v>
      </c>
      <c r="T7" s="35">
        <f>SUM(U7:V7)</f>
        <v>6078974</v>
      </c>
      <c r="U7" s="341">
        <v>4528213</v>
      </c>
      <c r="V7" s="24">
        <v>1550761</v>
      </c>
      <c r="W7" s="185">
        <f>V7/T7</f>
        <v>0.25510242353397133</v>
      </c>
    </row>
    <row r="8" spans="1:220" s="13" customFormat="1" ht="30" customHeight="1">
      <c r="A8" s="718" t="s">
        <v>189</v>
      </c>
      <c r="B8" s="719"/>
      <c r="C8" s="719"/>
      <c r="D8" s="719"/>
      <c r="E8" s="719"/>
      <c r="F8" s="719"/>
      <c r="G8" s="719"/>
      <c r="H8" s="667"/>
      <c r="I8" s="667"/>
      <c r="J8" s="667"/>
      <c r="K8" s="667"/>
      <c r="L8" s="667"/>
      <c r="M8" s="667"/>
      <c r="N8" s="667"/>
      <c r="O8" s="667"/>
      <c r="P8" s="667"/>
      <c r="Q8" s="667"/>
      <c r="R8" s="667"/>
      <c r="S8" s="667"/>
      <c r="T8" s="667"/>
      <c r="U8" s="667"/>
      <c r="V8" s="667"/>
      <c r="W8" s="667"/>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row>
    <row r="9" spans="1:220" s="13" customFormat="1">
      <c r="A9" s="655" t="s">
        <v>188</v>
      </c>
      <c r="B9" s="656"/>
      <c r="C9" s="656"/>
      <c r="D9" s="656"/>
      <c r="E9" s="656"/>
      <c r="F9" s="656"/>
      <c r="G9" s="656"/>
      <c r="H9" s="656"/>
      <c r="I9" s="656"/>
      <c r="J9" s="656"/>
      <c r="K9" s="656"/>
      <c r="L9" s="656"/>
      <c r="M9" s="656"/>
      <c r="N9" s="656"/>
      <c r="O9" s="656"/>
      <c r="P9" s="656"/>
      <c r="Q9" s="656"/>
      <c r="R9" s="656"/>
      <c r="S9" s="656"/>
      <c r="T9" s="656"/>
      <c r="U9" s="656"/>
      <c r="V9" s="656"/>
      <c r="W9" s="65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row>
    <row r="10" spans="1:220" s="13" customFormat="1" ht="14.45" customHeight="1">
      <c r="A10" s="656"/>
      <c r="B10" s="656"/>
      <c r="C10" s="656"/>
      <c r="D10" s="656"/>
      <c r="E10" s="656"/>
      <c r="F10" s="656"/>
      <c r="G10" s="656"/>
      <c r="H10" s="656"/>
      <c r="I10" s="656"/>
      <c r="J10" s="656"/>
      <c r="K10" s="656"/>
      <c r="L10" s="656"/>
      <c r="M10" s="656"/>
      <c r="N10" s="656"/>
      <c r="O10" s="656"/>
      <c r="P10" s="656"/>
      <c r="Q10" s="656"/>
      <c r="R10" s="656"/>
      <c r="S10" s="656"/>
      <c r="T10" s="656"/>
      <c r="U10" s="656"/>
      <c r="V10" s="656"/>
      <c r="W10" s="65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row>
    <row r="11" spans="1:220">
      <c r="A11" t="s">
        <v>201</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row>
    <row r="12" spans="1:220" s="13" customFormat="1">
      <c r="A12" s="13" t="s">
        <v>222</v>
      </c>
      <c r="G12" s="26"/>
      <c r="H12" s="26"/>
      <c r="U12" s="580"/>
    </row>
    <row r="13" spans="1:220" s="13" customFormat="1">
      <c r="G13" s="26"/>
      <c r="H13" s="2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row>
    <row r="14" spans="1:220" s="13" customFormat="1">
      <c r="G14" s="26"/>
      <c r="H14" s="2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row>
    <row r="15" spans="1:220" s="13" customFormat="1">
      <c r="G15" s="26"/>
      <c r="H15" s="2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row>
    <row r="16" spans="1:220" s="13" customFormat="1">
      <c r="G16" s="26"/>
      <c r="H16" s="2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row>
    <row r="17" spans="7:68" s="13" customFormat="1">
      <c r="G17" s="26"/>
      <c r="H17" s="2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row>
    <row r="18" spans="7:68" s="13" customFormat="1">
      <c r="G18" s="26"/>
      <c r="H18" s="2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row>
  </sheetData>
  <mergeCells count="2">
    <mergeCell ref="A8:W8"/>
    <mergeCell ref="A9:W10"/>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HL32"/>
  <sheetViews>
    <sheetView workbookViewId="0">
      <selection activeCell="N34" sqref="N34"/>
    </sheetView>
  </sheetViews>
  <sheetFormatPr defaultColWidth="8.85546875" defaultRowHeight="15"/>
  <cols>
    <col min="1" max="1" width="11"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28515625" bestFit="1" customWidth="1"/>
    <col min="22" max="22" width="10.85546875" bestFit="1" customWidth="1"/>
    <col min="23" max="23" width="12.85546875" bestFit="1" customWidth="1"/>
  </cols>
  <sheetData>
    <row r="1" spans="1:220" s="8" customFormat="1" ht="18.75">
      <c r="A1" s="1" t="s">
        <v>62</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16" customFormat="1">
      <c r="A3" s="417">
        <v>2021</v>
      </c>
      <c r="B3" s="409">
        <v>8</v>
      </c>
      <c r="C3" s="409">
        <v>1.67</v>
      </c>
      <c r="D3" s="410">
        <v>9.1669999999999998</v>
      </c>
      <c r="E3" s="411">
        <v>26</v>
      </c>
      <c r="F3" s="411">
        <v>23</v>
      </c>
      <c r="G3" s="409">
        <v>8</v>
      </c>
      <c r="H3" s="409">
        <v>1.67</v>
      </c>
      <c r="I3" s="409">
        <v>32</v>
      </c>
      <c r="J3" s="409">
        <v>361</v>
      </c>
      <c r="K3" s="410">
        <v>393</v>
      </c>
      <c r="L3" s="409">
        <v>180</v>
      </c>
      <c r="M3" s="411">
        <v>212</v>
      </c>
      <c r="N3" s="409">
        <v>82</v>
      </c>
      <c r="O3" s="435">
        <v>212</v>
      </c>
      <c r="P3" s="413">
        <v>1</v>
      </c>
      <c r="Q3" s="409">
        <v>127</v>
      </c>
      <c r="R3" s="409">
        <v>0</v>
      </c>
      <c r="S3" s="409">
        <v>912438</v>
      </c>
      <c r="T3" s="415">
        <v>912438</v>
      </c>
      <c r="U3" s="414">
        <v>912438</v>
      </c>
      <c r="V3" s="414">
        <v>0</v>
      </c>
      <c r="W3" s="335">
        <v>0</v>
      </c>
    </row>
    <row r="4" spans="1:220" s="416" customFormat="1">
      <c r="A4" s="417">
        <v>2020</v>
      </c>
      <c r="B4" s="409">
        <v>8</v>
      </c>
      <c r="C4" s="409">
        <v>1.67</v>
      </c>
      <c r="D4" s="410">
        <v>9.67</v>
      </c>
      <c r="E4" s="411">
        <f>ROUND((M4/B4),0)</f>
        <v>27</v>
      </c>
      <c r="F4" s="411">
        <f>ROUND((M4/D4), 0)</f>
        <v>22</v>
      </c>
      <c r="G4" s="409">
        <v>8</v>
      </c>
      <c r="H4" s="409">
        <v>1.67</v>
      </c>
      <c r="I4" s="409">
        <v>32</v>
      </c>
      <c r="J4" s="409">
        <v>340</v>
      </c>
      <c r="K4" s="410">
        <v>372</v>
      </c>
      <c r="L4" s="409">
        <v>184</v>
      </c>
      <c r="M4" s="411">
        <v>215</v>
      </c>
      <c r="N4" s="409">
        <v>47</v>
      </c>
      <c r="O4" s="435">
        <v>215</v>
      </c>
      <c r="P4" s="413">
        <v>1</v>
      </c>
      <c r="Q4" s="409">
        <v>93</v>
      </c>
      <c r="R4" s="409">
        <v>0</v>
      </c>
      <c r="S4" s="409">
        <v>654943</v>
      </c>
      <c r="T4" s="415">
        <v>720131</v>
      </c>
      <c r="U4" s="414">
        <v>720131</v>
      </c>
      <c r="V4" s="414">
        <v>0</v>
      </c>
      <c r="W4" s="335">
        <v>0</v>
      </c>
    </row>
    <row r="5" spans="1:220" s="416" customFormat="1">
      <c r="A5" s="417">
        <v>2019</v>
      </c>
      <c r="B5" s="409">
        <v>8</v>
      </c>
      <c r="C5" s="409">
        <v>2</v>
      </c>
      <c r="D5" s="410">
        <f>SUM(B5:C5)</f>
        <v>10</v>
      </c>
      <c r="E5" s="411">
        <f>ROUND((O5/B5), 0)</f>
        <v>26</v>
      </c>
      <c r="F5" s="411">
        <f>ROUND((O5/D5), 0)</f>
        <v>21</v>
      </c>
      <c r="G5" s="409">
        <v>8</v>
      </c>
      <c r="H5" s="409">
        <v>2</v>
      </c>
      <c r="I5" s="409">
        <v>27</v>
      </c>
      <c r="J5" s="409">
        <v>280</v>
      </c>
      <c r="K5" s="410">
        <f>SUM(I5:J5)</f>
        <v>307</v>
      </c>
      <c r="L5" s="409">
        <v>181</v>
      </c>
      <c r="M5" s="411">
        <f>(I5+L5)</f>
        <v>208</v>
      </c>
      <c r="N5" s="409">
        <v>49</v>
      </c>
      <c r="O5" s="435">
        <v>208</v>
      </c>
      <c r="P5" s="413">
        <v>1</v>
      </c>
      <c r="Q5" s="409">
        <v>79</v>
      </c>
      <c r="R5" s="409">
        <v>0</v>
      </c>
      <c r="S5" s="409">
        <v>729771</v>
      </c>
      <c r="T5" s="415">
        <f>SUM(U5:V5)</f>
        <v>734046</v>
      </c>
      <c r="U5" s="414">
        <v>734046</v>
      </c>
      <c r="V5" s="414">
        <v>0</v>
      </c>
      <c r="W5" s="335">
        <f>V5/T5</f>
        <v>0</v>
      </c>
    </row>
    <row r="6" spans="1:220" s="17" customFormat="1">
      <c r="A6" s="33">
        <v>2018</v>
      </c>
      <c r="B6" s="20">
        <v>7</v>
      </c>
      <c r="C6" s="20">
        <v>2.66</v>
      </c>
      <c r="D6" s="29">
        <f>SUM(B6:C6)</f>
        <v>9.66</v>
      </c>
      <c r="E6" s="172">
        <f>ROUND((O6/B6), 0)</f>
        <v>22</v>
      </c>
      <c r="F6" s="172">
        <f>ROUND((O6/D6), 0)</f>
        <v>16</v>
      </c>
      <c r="G6" s="20">
        <v>7</v>
      </c>
      <c r="H6" s="20">
        <v>2.66</v>
      </c>
      <c r="I6" s="20">
        <v>24</v>
      </c>
      <c r="J6" s="20">
        <v>244</v>
      </c>
      <c r="K6" s="29">
        <f>SUM(I6:J6)</f>
        <v>268</v>
      </c>
      <c r="L6" s="20">
        <v>130</v>
      </c>
      <c r="M6" s="172">
        <f>(I6+L6)</f>
        <v>154</v>
      </c>
      <c r="N6" s="20">
        <v>43</v>
      </c>
      <c r="O6" s="20">
        <v>154</v>
      </c>
      <c r="P6" s="183">
        <f>M6/O6</f>
        <v>1</v>
      </c>
      <c r="Q6" s="20">
        <v>88</v>
      </c>
      <c r="R6" s="20">
        <v>0</v>
      </c>
      <c r="S6" s="24">
        <v>677335</v>
      </c>
      <c r="T6" s="30">
        <f>SUM(U6:V6)</f>
        <v>688989</v>
      </c>
      <c r="U6" s="24">
        <v>688989</v>
      </c>
      <c r="V6" s="24">
        <v>0</v>
      </c>
      <c r="W6" s="185">
        <f>V6/T6</f>
        <v>0</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7</v>
      </c>
      <c r="C7" s="20">
        <v>1</v>
      </c>
      <c r="D7" s="34">
        <f>SUM(B7:C7)</f>
        <v>8</v>
      </c>
      <c r="E7" s="34">
        <f>ROUND((O7/B7), 0)</f>
        <v>19</v>
      </c>
      <c r="F7" s="34">
        <f>ROUND((O7/D7), 0)</f>
        <v>17</v>
      </c>
      <c r="G7" s="20">
        <v>7</v>
      </c>
      <c r="H7" s="20">
        <v>1</v>
      </c>
      <c r="I7" s="20">
        <v>13</v>
      </c>
      <c r="J7" s="20">
        <v>204</v>
      </c>
      <c r="K7" s="34">
        <f>SUM(I7:J7)</f>
        <v>217</v>
      </c>
      <c r="L7" s="20">
        <v>119</v>
      </c>
      <c r="M7" s="36">
        <f>(I7+L7)</f>
        <v>132</v>
      </c>
      <c r="N7" s="344">
        <v>46</v>
      </c>
      <c r="O7" s="344">
        <v>132</v>
      </c>
      <c r="P7" s="183">
        <f t="shared" ref="P7:P22" si="0">M7/O7</f>
        <v>1</v>
      </c>
      <c r="Q7" s="20">
        <v>69</v>
      </c>
      <c r="R7" s="20">
        <v>0</v>
      </c>
      <c r="S7" s="300">
        <v>693719</v>
      </c>
      <c r="T7" s="35">
        <f>SUM(U7:V7)</f>
        <v>693719</v>
      </c>
      <c r="U7" s="341">
        <v>693719</v>
      </c>
      <c r="V7" s="24">
        <v>0</v>
      </c>
      <c r="W7" s="185">
        <f t="shared" ref="W7:W22" si="1">V7/T7</f>
        <v>0</v>
      </c>
    </row>
    <row r="8" spans="1:220" s="65" customFormat="1">
      <c r="A8" s="95">
        <v>2016</v>
      </c>
      <c r="B8" s="63">
        <v>7</v>
      </c>
      <c r="C8" s="63">
        <v>0.33</v>
      </c>
      <c r="D8" s="81">
        <f>B8+C8</f>
        <v>7.33</v>
      </c>
      <c r="E8" s="82">
        <f>ROUND((O8/B8), 0)</f>
        <v>20</v>
      </c>
      <c r="F8" s="82">
        <f>ROUND((O8/D8), 0)</f>
        <v>19</v>
      </c>
      <c r="G8" s="83">
        <v>7</v>
      </c>
      <c r="H8" s="83">
        <v>0.33</v>
      </c>
      <c r="I8" s="63">
        <v>18</v>
      </c>
      <c r="J8" s="63">
        <v>221</v>
      </c>
      <c r="K8" s="81">
        <f>I8+J8</f>
        <v>239</v>
      </c>
      <c r="L8" s="63">
        <v>123</v>
      </c>
      <c r="M8" s="82">
        <f>I8+L8</f>
        <v>141</v>
      </c>
      <c r="N8" s="63">
        <v>40</v>
      </c>
      <c r="O8" s="63">
        <v>141</v>
      </c>
      <c r="P8" s="183">
        <f t="shared" si="0"/>
        <v>1</v>
      </c>
      <c r="Q8" s="63">
        <v>60</v>
      </c>
      <c r="R8" s="63">
        <v>0</v>
      </c>
      <c r="S8" s="74">
        <v>659816</v>
      </c>
      <c r="T8" s="85">
        <f>SUM(U8:V8)</f>
        <v>652720</v>
      </c>
      <c r="U8" s="74">
        <v>652720</v>
      </c>
      <c r="V8" s="63">
        <v>0</v>
      </c>
      <c r="W8" s="185">
        <f t="shared" si="1"/>
        <v>0</v>
      </c>
    </row>
    <row r="9" spans="1:220" s="105" customFormat="1">
      <c r="A9" s="267">
        <v>2015</v>
      </c>
      <c r="B9" s="91">
        <v>7</v>
      </c>
      <c r="C9" s="91">
        <v>0.67</v>
      </c>
      <c r="D9" s="81">
        <v>7.67</v>
      </c>
      <c r="E9" s="81">
        <v>11.6</v>
      </c>
      <c r="F9" s="81">
        <v>10.6</v>
      </c>
      <c r="G9" s="111"/>
      <c r="H9" s="111"/>
      <c r="I9" s="91">
        <v>15</v>
      </c>
      <c r="J9" s="91">
        <v>199</v>
      </c>
      <c r="K9" s="81">
        <v>214</v>
      </c>
      <c r="L9" s="91">
        <v>66</v>
      </c>
      <c r="M9" s="81">
        <v>81</v>
      </c>
      <c r="N9" s="91">
        <v>36</v>
      </c>
      <c r="O9" s="91">
        <v>81</v>
      </c>
      <c r="P9" s="183">
        <f t="shared" si="0"/>
        <v>1</v>
      </c>
      <c r="Q9" s="91">
        <v>43</v>
      </c>
      <c r="R9" s="91">
        <v>0</v>
      </c>
      <c r="S9" s="102">
        <v>616020</v>
      </c>
      <c r="T9" s="103">
        <v>672762</v>
      </c>
      <c r="U9" s="102">
        <v>672762</v>
      </c>
      <c r="V9" s="102">
        <v>0</v>
      </c>
      <c r="W9" s="185">
        <f t="shared" si="1"/>
        <v>0</v>
      </c>
    </row>
    <row r="10" spans="1:220" s="168" customFormat="1">
      <c r="A10" s="90">
        <v>2014</v>
      </c>
      <c r="B10" s="91">
        <v>7</v>
      </c>
      <c r="C10" s="91">
        <v>0.67</v>
      </c>
      <c r="D10" s="81">
        <f>B10+C10</f>
        <v>7.67</v>
      </c>
      <c r="E10" s="82">
        <f t="shared" ref="E10:E22" si="2">ROUND((O10/B10), 0)</f>
        <v>14</v>
      </c>
      <c r="F10" s="82">
        <f t="shared" ref="F10:F22" si="3">ROUND((O10/D10), 0)</f>
        <v>13</v>
      </c>
      <c r="G10" s="111"/>
      <c r="H10" s="111"/>
      <c r="I10" s="91">
        <v>6</v>
      </c>
      <c r="J10" s="91">
        <v>169</v>
      </c>
      <c r="K10" s="81">
        <f>I10+J10</f>
        <v>175</v>
      </c>
      <c r="L10" s="91">
        <v>92</v>
      </c>
      <c r="M10" s="82">
        <f>I10+L10</f>
        <v>98</v>
      </c>
      <c r="N10" s="91">
        <v>32</v>
      </c>
      <c r="O10" s="91">
        <v>98</v>
      </c>
      <c r="P10" s="183">
        <f t="shared" si="0"/>
        <v>1</v>
      </c>
      <c r="Q10" s="91">
        <v>63</v>
      </c>
      <c r="R10" s="91">
        <v>0</v>
      </c>
      <c r="S10" s="92">
        <v>550236</v>
      </c>
      <c r="T10" s="85">
        <f t="shared" ref="T10:T22" si="4">SUM(U10:V10)</f>
        <v>550236</v>
      </c>
      <c r="U10" s="92">
        <v>550236</v>
      </c>
      <c r="V10" s="92">
        <v>0</v>
      </c>
      <c r="W10" s="185">
        <f t="shared" si="1"/>
        <v>0</v>
      </c>
    </row>
    <row r="11" spans="1:220" s="71" customFormat="1">
      <c r="A11" s="90">
        <v>2013</v>
      </c>
      <c r="B11" s="353">
        <v>7</v>
      </c>
      <c r="C11" s="353">
        <v>0.33</v>
      </c>
      <c r="D11" s="108">
        <f>B11+C11</f>
        <v>7.33</v>
      </c>
      <c r="E11" s="109">
        <f t="shared" si="2"/>
        <v>24</v>
      </c>
      <c r="F11" s="109">
        <f t="shared" si="3"/>
        <v>23</v>
      </c>
      <c r="G11" s="113"/>
      <c r="H11" s="113"/>
      <c r="I11" s="353">
        <v>0</v>
      </c>
      <c r="J11" s="353">
        <v>237</v>
      </c>
      <c r="K11" s="108">
        <f>I11+J11</f>
        <v>237</v>
      </c>
      <c r="L11" s="353">
        <v>165</v>
      </c>
      <c r="M11" s="109">
        <f>I11+L11</f>
        <v>165</v>
      </c>
      <c r="N11" s="353">
        <v>39</v>
      </c>
      <c r="O11" s="353">
        <v>165</v>
      </c>
      <c r="P11" s="183">
        <f t="shared" si="0"/>
        <v>1</v>
      </c>
      <c r="Q11" s="353">
        <v>159</v>
      </c>
      <c r="R11" s="353">
        <v>0</v>
      </c>
      <c r="S11" s="112">
        <v>632696</v>
      </c>
      <c r="T11" s="110">
        <f t="shared" si="4"/>
        <v>632696</v>
      </c>
      <c r="U11" s="112">
        <v>631267</v>
      </c>
      <c r="V11" s="112">
        <v>1429</v>
      </c>
      <c r="W11" s="185">
        <f t="shared" si="1"/>
        <v>2.2585886428869474E-3</v>
      </c>
    </row>
    <row r="12" spans="1:220" s="71" customFormat="1">
      <c r="A12" s="90">
        <v>2012</v>
      </c>
      <c r="B12" s="353">
        <v>7</v>
      </c>
      <c r="C12" s="353">
        <v>1</v>
      </c>
      <c r="D12" s="108">
        <f>B12+C12</f>
        <v>8</v>
      </c>
      <c r="E12" s="109">
        <f t="shared" si="2"/>
        <v>16</v>
      </c>
      <c r="F12" s="109">
        <f t="shared" si="3"/>
        <v>14</v>
      </c>
      <c r="G12" s="113"/>
      <c r="H12" s="113"/>
      <c r="I12" s="353">
        <v>16</v>
      </c>
      <c r="J12" s="353">
        <v>195</v>
      </c>
      <c r="K12" s="108">
        <f>I12+J12</f>
        <v>211</v>
      </c>
      <c r="L12" s="353">
        <v>92.9</v>
      </c>
      <c r="M12" s="109">
        <f>I12+L12</f>
        <v>108.9</v>
      </c>
      <c r="N12" s="353">
        <v>33</v>
      </c>
      <c r="O12" s="353">
        <v>108.9</v>
      </c>
      <c r="P12" s="183">
        <f t="shared" si="0"/>
        <v>1</v>
      </c>
      <c r="Q12" s="353">
        <v>81</v>
      </c>
      <c r="R12" s="353">
        <v>0</v>
      </c>
      <c r="S12" s="112">
        <v>488032</v>
      </c>
      <c r="T12" s="110">
        <f t="shared" si="4"/>
        <v>505045</v>
      </c>
      <c r="U12" s="112">
        <v>504045</v>
      </c>
      <c r="V12" s="112">
        <v>1000</v>
      </c>
      <c r="W12" s="185">
        <f t="shared" si="1"/>
        <v>1.9800215822352463E-3</v>
      </c>
    </row>
    <row r="13" spans="1:220" s="71" customFormat="1">
      <c r="A13" s="90">
        <v>2011</v>
      </c>
      <c r="B13" s="353">
        <v>7</v>
      </c>
      <c r="C13" s="353">
        <v>1.3</v>
      </c>
      <c r="D13" s="108">
        <f t="shared" ref="D13:D22" si="5">SUM(B13:C13)</f>
        <v>8.3000000000000007</v>
      </c>
      <c r="E13" s="109">
        <f t="shared" si="2"/>
        <v>18</v>
      </c>
      <c r="F13" s="109">
        <f t="shared" si="3"/>
        <v>16</v>
      </c>
      <c r="G13" s="113"/>
      <c r="H13" s="113"/>
      <c r="I13" s="353">
        <v>22</v>
      </c>
      <c r="J13" s="353">
        <v>227</v>
      </c>
      <c r="K13" s="108">
        <f t="shared" ref="K13:K22" si="6">SUM(I13:J13)</f>
        <v>249</v>
      </c>
      <c r="L13" s="353">
        <v>107</v>
      </c>
      <c r="M13" s="109">
        <f t="shared" ref="M13:M22" si="7">(I13+L13)</f>
        <v>129</v>
      </c>
      <c r="N13" s="353">
        <v>35</v>
      </c>
      <c r="O13" s="353">
        <v>129</v>
      </c>
      <c r="P13" s="183">
        <f t="shared" si="0"/>
        <v>1</v>
      </c>
      <c r="Q13" s="353">
        <v>55</v>
      </c>
      <c r="R13" s="353">
        <v>0</v>
      </c>
      <c r="S13" s="112">
        <v>473945</v>
      </c>
      <c r="T13" s="110">
        <f t="shared" si="4"/>
        <v>505045</v>
      </c>
      <c r="U13" s="112">
        <v>504045</v>
      </c>
      <c r="V13" s="112">
        <v>1000</v>
      </c>
      <c r="W13" s="185">
        <f t="shared" si="1"/>
        <v>1.9800215822352463E-3</v>
      </c>
    </row>
    <row r="14" spans="1:220" s="71" customFormat="1">
      <c r="A14" s="90">
        <v>2010</v>
      </c>
      <c r="B14" s="353">
        <v>6</v>
      </c>
      <c r="C14" s="353">
        <v>2.33</v>
      </c>
      <c r="D14" s="108">
        <f t="shared" si="5"/>
        <v>8.33</v>
      </c>
      <c r="E14" s="109">
        <f t="shared" si="2"/>
        <v>24</v>
      </c>
      <c r="F14" s="109">
        <f t="shared" si="3"/>
        <v>17</v>
      </c>
      <c r="G14" s="113"/>
      <c r="H14" s="113"/>
      <c r="I14" s="353">
        <v>14</v>
      </c>
      <c r="J14" s="353">
        <v>256</v>
      </c>
      <c r="K14" s="108">
        <f t="shared" si="6"/>
        <v>270</v>
      </c>
      <c r="L14" s="353">
        <v>128</v>
      </c>
      <c r="M14" s="109">
        <f t="shared" si="7"/>
        <v>142</v>
      </c>
      <c r="N14" s="353">
        <v>60</v>
      </c>
      <c r="O14" s="353">
        <v>142</v>
      </c>
      <c r="P14" s="183">
        <f t="shared" si="0"/>
        <v>1</v>
      </c>
      <c r="Q14" s="353">
        <v>70</v>
      </c>
      <c r="R14" s="353">
        <v>0</v>
      </c>
      <c r="S14" s="112">
        <v>473416</v>
      </c>
      <c r="T14" s="110">
        <f t="shared" si="4"/>
        <v>504045</v>
      </c>
      <c r="U14" s="112">
        <v>504045</v>
      </c>
      <c r="V14" s="112">
        <v>0</v>
      </c>
      <c r="W14" s="185">
        <f t="shared" si="1"/>
        <v>0</v>
      </c>
    </row>
    <row r="15" spans="1:220" s="71" customFormat="1">
      <c r="A15" s="90">
        <v>2009</v>
      </c>
      <c r="B15" s="353">
        <v>6</v>
      </c>
      <c r="C15" s="353">
        <v>1.67</v>
      </c>
      <c r="D15" s="108">
        <f t="shared" si="5"/>
        <v>7.67</v>
      </c>
      <c r="E15" s="109">
        <f t="shared" si="2"/>
        <v>21</v>
      </c>
      <c r="F15" s="109">
        <f t="shared" si="3"/>
        <v>16</v>
      </c>
      <c r="G15" s="113"/>
      <c r="H15" s="113"/>
      <c r="I15" s="353">
        <v>33</v>
      </c>
      <c r="J15" s="353">
        <v>176</v>
      </c>
      <c r="K15" s="108">
        <f t="shared" si="6"/>
        <v>209</v>
      </c>
      <c r="L15" s="353">
        <v>92</v>
      </c>
      <c r="M15" s="109">
        <f t="shared" si="7"/>
        <v>125</v>
      </c>
      <c r="N15" s="353">
        <v>42</v>
      </c>
      <c r="O15" s="353">
        <v>125</v>
      </c>
      <c r="P15" s="183">
        <f t="shared" si="0"/>
        <v>1</v>
      </c>
      <c r="Q15" s="353">
        <v>43</v>
      </c>
      <c r="R15" s="353">
        <v>0</v>
      </c>
      <c r="S15" s="112">
        <v>554076</v>
      </c>
      <c r="T15" s="110">
        <f t="shared" si="4"/>
        <v>559947</v>
      </c>
      <c r="U15" s="112">
        <v>554076</v>
      </c>
      <c r="V15" s="112">
        <v>5871</v>
      </c>
      <c r="W15" s="185">
        <f t="shared" si="1"/>
        <v>1.0484920894298925E-2</v>
      </c>
    </row>
    <row r="16" spans="1:220" s="71" customFormat="1">
      <c r="A16" s="90">
        <v>2008</v>
      </c>
      <c r="B16" s="353">
        <v>6</v>
      </c>
      <c r="C16" s="353">
        <v>0.66600000000000004</v>
      </c>
      <c r="D16" s="108">
        <f t="shared" si="5"/>
        <v>6.6660000000000004</v>
      </c>
      <c r="E16" s="109">
        <f t="shared" si="2"/>
        <v>19</v>
      </c>
      <c r="F16" s="109">
        <f t="shared" si="3"/>
        <v>17</v>
      </c>
      <c r="G16" s="113"/>
      <c r="H16" s="113"/>
      <c r="I16" s="353">
        <v>29</v>
      </c>
      <c r="J16" s="353">
        <v>126</v>
      </c>
      <c r="K16" s="108">
        <f t="shared" si="6"/>
        <v>155</v>
      </c>
      <c r="L16" s="353">
        <v>83.92</v>
      </c>
      <c r="M16" s="109">
        <f t="shared" si="7"/>
        <v>112.92</v>
      </c>
      <c r="N16" s="353">
        <v>40</v>
      </c>
      <c r="O16" s="353">
        <v>114</v>
      </c>
      <c r="P16" s="183">
        <f t="shared" si="0"/>
        <v>0.9905263157894737</v>
      </c>
      <c r="Q16" s="353">
        <v>17</v>
      </c>
      <c r="R16" s="353">
        <v>0</v>
      </c>
      <c r="S16" s="112">
        <v>470002</v>
      </c>
      <c r="T16" s="110">
        <f t="shared" si="4"/>
        <v>449707</v>
      </c>
      <c r="U16" s="112">
        <v>435902</v>
      </c>
      <c r="V16" s="112">
        <v>13805</v>
      </c>
      <c r="W16" s="185">
        <f t="shared" si="1"/>
        <v>3.0697765433938099E-2</v>
      </c>
    </row>
    <row r="17" spans="1:23" s="71" customFormat="1">
      <c r="A17" s="90">
        <v>2007</v>
      </c>
      <c r="B17" s="353">
        <v>5</v>
      </c>
      <c r="C17" s="353">
        <v>0</v>
      </c>
      <c r="D17" s="194">
        <f t="shared" si="5"/>
        <v>5</v>
      </c>
      <c r="E17" s="109">
        <f t="shared" si="2"/>
        <v>14</v>
      </c>
      <c r="F17" s="109">
        <f t="shared" si="3"/>
        <v>14</v>
      </c>
      <c r="G17" s="113"/>
      <c r="H17" s="113"/>
      <c r="I17" s="353">
        <v>15</v>
      </c>
      <c r="J17" s="353">
        <v>82</v>
      </c>
      <c r="K17" s="194">
        <f t="shared" si="6"/>
        <v>97</v>
      </c>
      <c r="L17" s="353">
        <v>54.92</v>
      </c>
      <c r="M17" s="109">
        <f t="shared" si="7"/>
        <v>69.92</v>
      </c>
      <c r="N17" s="353">
        <v>19</v>
      </c>
      <c r="O17" s="353">
        <v>70</v>
      </c>
      <c r="P17" s="183">
        <f t="shared" si="0"/>
        <v>0.99885714285714289</v>
      </c>
      <c r="Q17" s="353">
        <v>34</v>
      </c>
      <c r="R17" s="353">
        <v>0</v>
      </c>
      <c r="S17" s="250">
        <v>452526</v>
      </c>
      <c r="T17" s="110">
        <f t="shared" si="4"/>
        <v>452526</v>
      </c>
      <c r="U17" s="250">
        <v>451027</v>
      </c>
      <c r="V17" s="250">
        <v>1499</v>
      </c>
      <c r="W17" s="185">
        <f t="shared" si="1"/>
        <v>3.3125168498605606E-3</v>
      </c>
    </row>
    <row r="18" spans="1:23" s="71" customFormat="1">
      <c r="A18" s="90">
        <v>2006</v>
      </c>
      <c r="B18" s="353">
        <v>5</v>
      </c>
      <c r="C18" s="353">
        <v>0</v>
      </c>
      <c r="D18" s="194">
        <f t="shared" si="5"/>
        <v>5</v>
      </c>
      <c r="E18" s="109">
        <f t="shared" si="2"/>
        <v>9</v>
      </c>
      <c r="F18" s="109">
        <f t="shared" si="3"/>
        <v>9</v>
      </c>
      <c r="G18" s="113"/>
      <c r="H18" s="113"/>
      <c r="I18" s="353">
        <v>12</v>
      </c>
      <c r="J18" s="353">
        <v>67</v>
      </c>
      <c r="K18" s="194">
        <f t="shared" si="6"/>
        <v>79</v>
      </c>
      <c r="L18" s="353">
        <v>32</v>
      </c>
      <c r="M18" s="109">
        <f t="shared" si="7"/>
        <v>44</v>
      </c>
      <c r="N18" s="353">
        <v>11</v>
      </c>
      <c r="O18" s="353">
        <v>45</v>
      </c>
      <c r="P18" s="183">
        <f t="shared" si="0"/>
        <v>0.97777777777777775</v>
      </c>
      <c r="Q18" s="353">
        <v>15</v>
      </c>
      <c r="R18" s="353">
        <v>0</v>
      </c>
      <c r="S18" s="192">
        <v>411759</v>
      </c>
      <c r="T18" s="110">
        <f t="shared" si="4"/>
        <v>411759</v>
      </c>
      <c r="U18" s="192">
        <v>410759</v>
      </c>
      <c r="V18" s="192">
        <v>1000</v>
      </c>
      <c r="W18" s="185">
        <f t="shared" si="1"/>
        <v>2.4286050820989946E-3</v>
      </c>
    </row>
    <row r="19" spans="1:23" s="71" customFormat="1">
      <c r="A19" s="90">
        <v>2005</v>
      </c>
      <c r="B19" s="353">
        <v>4</v>
      </c>
      <c r="C19" s="353">
        <v>0</v>
      </c>
      <c r="D19" s="194">
        <f t="shared" si="5"/>
        <v>4</v>
      </c>
      <c r="E19" s="109">
        <f t="shared" si="2"/>
        <v>10</v>
      </c>
      <c r="F19" s="109">
        <f t="shared" si="3"/>
        <v>10</v>
      </c>
      <c r="G19" s="113"/>
      <c r="H19" s="113"/>
      <c r="I19" s="353">
        <v>10</v>
      </c>
      <c r="J19" s="353">
        <v>54</v>
      </c>
      <c r="K19" s="194">
        <f t="shared" si="6"/>
        <v>64</v>
      </c>
      <c r="L19" s="353">
        <v>27</v>
      </c>
      <c r="M19" s="109">
        <f t="shared" si="7"/>
        <v>37</v>
      </c>
      <c r="N19" s="353">
        <v>6</v>
      </c>
      <c r="O19" s="353">
        <v>38.5</v>
      </c>
      <c r="P19" s="183">
        <f t="shared" si="0"/>
        <v>0.96103896103896103</v>
      </c>
      <c r="Q19" s="353">
        <v>0</v>
      </c>
      <c r="R19" s="353">
        <v>5</v>
      </c>
      <c r="S19" s="192">
        <v>372576</v>
      </c>
      <c r="T19" s="110">
        <f t="shared" si="4"/>
        <v>372825</v>
      </c>
      <c r="U19" s="192">
        <v>372576</v>
      </c>
      <c r="V19" s="192">
        <v>249</v>
      </c>
      <c r="W19" s="185">
        <f t="shared" si="1"/>
        <v>6.67873667270167E-4</v>
      </c>
    </row>
    <row r="20" spans="1:23" s="71" customFormat="1">
      <c r="A20" s="90">
        <v>2004</v>
      </c>
      <c r="B20" s="195">
        <v>4</v>
      </c>
      <c r="C20" s="195">
        <v>0</v>
      </c>
      <c r="D20" s="194">
        <f t="shared" si="5"/>
        <v>4</v>
      </c>
      <c r="E20" s="109">
        <f t="shared" si="2"/>
        <v>9</v>
      </c>
      <c r="F20" s="109">
        <f t="shared" si="3"/>
        <v>9</v>
      </c>
      <c r="G20" s="113"/>
      <c r="H20" s="113"/>
      <c r="I20" s="195">
        <v>5</v>
      </c>
      <c r="J20" s="195">
        <v>59</v>
      </c>
      <c r="K20" s="194">
        <f t="shared" si="6"/>
        <v>64</v>
      </c>
      <c r="L20" s="195">
        <v>28</v>
      </c>
      <c r="M20" s="109">
        <f t="shared" si="7"/>
        <v>33</v>
      </c>
      <c r="N20" s="195">
        <v>3</v>
      </c>
      <c r="O20" s="195">
        <v>34</v>
      </c>
      <c r="P20" s="183">
        <f t="shared" si="0"/>
        <v>0.97058823529411764</v>
      </c>
      <c r="Q20" s="195">
        <v>0</v>
      </c>
      <c r="R20" s="353">
        <v>1</v>
      </c>
      <c r="S20" s="192">
        <v>349806</v>
      </c>
      <c r="T20" s="110">
        <f t="shared" si="4"/>
        <v>351553</v>
      </c>
      <c r="U20" s="192">
        <v>349806</v>
      </c>
      <c r="V20" s="192">
        <v>1747</v>
      </c>
      <c r="W20" s="185">
        <f t="shared" si="1"/>
        <v>4.9693787281007411E-3</v>
      </c>
    </row>
    <row r="21" spans="1:23" s="71" customFormat="1">
      <c r="A21" s="90">
        <v>2003</v>
      </c>
      <c r="B21" s="195">
        <v>2</v>
      </c>
      <c r="C21" s="195">
        <v>0</v>
      </c>
      <c r="D21" s="194">
        <f t="shared" si="5"/>
        <v>2</v>
      </c>
      <c r="E21" s="109">
        <f t="shared" si="2"/>
        <v>13</v>
      </c>
      <c r="F21" s="109">
        <f t="shared" si="3"/>
        <v>13</v>
      </c>
      <c r="G21" s="113"/>
      <c r="H21" s="113"/>
      <c r="I21" s="195">
        <v>3</v>
      </c>
      <c r="J21" s="195">
        <v>47</v>
      </c>
      <c r="K21" s="194">
        <f t="shared" si="6"/>
        <v>50</v>
      </c>
      <c r="L21" s="195">
        <v>23</v>
      </c>
      <c r="M21" s="109">
        <f t="shared" si="7"/>
        <v>26</v>
      </c>
      <c r="N21" s="195">
        <v>2</v>
      </c>
      <c r="O21" s="195">
        <v>26</v>
      </c>
      <c r="P21" s="183">
        <f t="shared" si="0"/>
        <v>1</v>
      </c>
      <c r="Q21" s="195">
        <v>0</v>
      </c>
      <c r="R21" s="353">
        <v>1</v>
      </c>
      <c r="S21" s="192">
        <v>336396</v>
      </c>
      <c r="T21" s="110">
        <f t="shared" si="4"/>
        <v>245599</v>
      </c>
      <c r="U21" s="192">
        <v>245599</v>
      </c>
      <c r="V21" s="192">
        <v>0</v>
      </c>
      <c r="W21" s="185">
        <f t="shared" si="1"/>
        <v>0</v>
      </c>
    </row>
    <row r="22" spans="1:23" s="71" customFormat="1">
      <c r="A22" s="90">
        <v>2002</v>
      </c>
      <c r="B22" s="195">
        <v>3</v>
      </c>
      <c r="C22" s="195">
        <f>ROUND(0.25, 0)</f>
        <v>0</v>
      </c>
      <c r="D22" s="194">
        <f t="shared" si="5"/>
        <v>3</v>
      </c>
      <c r="E22" s="109">
        <f t="shared" si="2"/>
        <v>3</v>
      </c>
      <c r="F22" s="109">
        <f t="shared" si="3"/>
        <v>3</v>
      </c>
      <c r="G22" s="113"/>
      <c r="H22" s="113"/>
      <c r="I22" s="195">
        <v>1</v>
      </c>
      <c r="J22" s="195">
        <v>10</v>
      </c>
      <c r="K22" s="194">
        <f t="shared" si="6"/>
        <v>11</v>
      </c>
      <c r="L22" s="195">
        <f>ROUND(6.89, 0)</f>
        <v>7</v>
      </c>
      <c r="M22" s="109">
        <f t="shared" si="7"/>
        <v>8</v>
      </c>
      <c r="N22" s="195">
        <v>1</v>
      </c>
      <c r="O22" s="195">
        <f>ROUND(7.89, 0)</f>
        <v>8</v>
      </c>
      <c r="P22" s="183">
        <f t="shared" si="0"/>
        <v>1</v>
      </c>
      <c r="Q22" s="195">
        <v>0</v>
      </c>
      <c r="R22" s="353">
        <v>1</v>
      </c>
      <c r="S22" s="192">
        <v>338812</v>
      </c>
      <c r="T22" s="110">
        <f t="shared" si="4"/>
        <v>338812</v>
      </c>
      <c r="U22" s="192">
        <v>338812</v>
      </c>
      <c r="V22" s="192">
        <v>0</v>
      </c>
      <c r="W22" s="185">
        <f t="shared" si="1"/>
        <v>0</v>
      </c>
    </row>
    <row r="23" spans="1:23" s="14" customFormat="1">
      <c r="G23"/>
      <c r="H23"/>
    </row>
    <row r="24" spans="1:23" s="14" customFormat="1">
      <c r="G24"/>
      <c r="H24"/>
    </row>
    <row r="25" spans="1:23" s="14" customFormat="1">
      <c r="G25"/>
      <c r="H25"/>
    </row>
    <row r="26" spans="1:23" s="14" customFormat="1">
      <c r="G26"/>
      <c r="H26"/>
    </row>
    <row r="27" spans="1:23" s="14" customFormat="1">
      <c r="G27"/>
      <c r="H27"/>
    </row>
    <row r="28" spans="1:23" s="14" customFormat="1">
      <c r="G28"/>
      <c r="H28"/>
    </row>
    <row r="29" spans="1:23" s="14" customFormat="1">
      <c r="G29"/>
      <c r="H29"/>
    </row>
    <row r="30" spans="1:23" s="14" customFormat="1">
      <c r="G30"/>
      <c r="H30"/>
    </row>
    <row r="31" spans="1:23" s="14" customFormat="1">
      <c r="G31"/>
      <c r="H31"/>
    </row>
    <row r="32" spans="1:23" s="14" customFormat="1">
      <c r="G32"/>
      <c r="H32"/>
    </row>
  </sheetData>
  <printOptions headings="1" gridLines="1"/>
  <pageMargins left="0.5" right="0.5" top="0.5" bottom="0.5" header="0" footer="0"/>
  <pageSetup paperSize="5" scale="65" orientation="landscape" r:id="rId1"/>
  <legacyDrawing r:id="rId2"/>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HL36"/>
  <sheetViews>
    <sheetView workbookViewId="0">
      <selection activeCell="L36" sqref="L36"/>
    </sheetView>
  </sheetViews>
  <sheetFormatPr defaultColWidth="8.85546875" defaultRowHeight="15"/>
  <cols>
    <col min="1" max="1" width="10.5703125" customWidth="1"/>
    <col min="2" max="2" width="10.140625" bestFit="1" customWidth="1"/>
    <col min="3" max="3" width="8.42578125" bestFit="1" customWidth="1"/>
    <col min="4" max="4" width="9.42578125" bestFit="1" customWidth="1"/>
    <col min="5" max="5" width="12.42578125" bestFit="1" customWidth="1"/>
    <col min="6" max="6" width="11.42578125" bestFit="1" customWidth="1"/>
    <col min="7" max="8" width="12.140625" customWidth="1"/>
    <col min="9" max="9" width="8.85546875" bestFit="1" customWidth="1"/>
    <col min="10" max="11" width="11.85546875" bestFit="1" customWidth="1"/>
    <col min="12" max="12" width="12.42578125" bestFit="1" customWidth="1"/>
    <col min="13" max="13" width="13.140625" bestFit="1" customWidth="1"/>
    <col min="14" max="14" width="11.140625" customWidth="1"/>
    <col min="15" max="15" width="13.42578125" bestFit="1" customWidth="1"/>
    <col min="16" max="16" width="14.42578125" customWidth="1"/>
    <col min="17" max="17" width="12.42578125" bestFit="1" customWidth="1"/>
    <col min="18" max="18" width="9" bestFit="1" customWidth="1"/>
    <col min="19" max="19" width="12" bestFit="1" customWidth="1"/>
    <col min="20" max="20" width="13" bestFit="1" customWidth="1"/>
    <col min="21" max="21" width="11.140625" bestFit="1" customWidth="1"/>
    <col min="22" max="22" width="11.5703125" bestFit="1" customWidth="1"/>
    <col min="23" max="23" width="12.85546875" bestFit="1" customWidth="1"/>
  </cols>
  <sheetData>
    <row r="1" spans="1:220" s="8" customFormat="1" ht="18.75">
      <c r="A1" s="1" t="s">
        <v>23</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62" customFormat="1">
      <c r="A3" s="563">
        <v>2021</v>
      </c>
      <c r="B3" s="636">
        <v>55</v>
      </c>
      <c r="C3" s="636">
        <v>35.299999999999997</v>
      </c>
      <c r="D3" s="410">
        <f>SUM(B3:C3)</f>
        <v>90.3</v>
      </c>
      <c r="E3" s="411">
        <f t="shared" ref="E3" si="0">ROUND((O3/B3), 0)</f>
        <v>21</v>
      </c>
      <c r="F3" s="411">
        <f t="shared" ref="F3" si="1">ROUND((O3/D3), 0)</f>
        <v>13</v>
      </c>
      <c r="G3" s="636">
        <v>29</v>
      </c>
      <c r="H3" s="636">
        <v>9.2899999999999991</v>
      </c>
      <c r="I3" s="636">
        <v>146</v>
      </c>
      <c r="J3" s="636">
        <v>260</v>
      </c>
      <c r="K3" s="410">
        <f t="shared" ref="K3" si="2">SUM(I3:J3)</f>
        <v>406</v>
      </c>
      <c r="L3" s="636">
        <v>156.19999999999999</v>
      </c>
      <c r="M3" s="411">
        <f>(I3+L3)</f>
        <v>302.2</v>
      </c>
      <c r="N3" s="636">
        <v>114</v>
      </c>
      <c r="O3" s="636">
        <v>1131.8</v>
      </c>
      <c r="P3" s="413">
        <f>M3/O3</f>
        <v>0.26700830535430287</v>
      </c>
      <c r="Q3" s="636">
        <v>128</v>
      </c>
      <c r="R3" s="636">
        <v>418</v>
      </c>
      <c r="S3" s="505">
        <v>32065515</v>
      </c>
      <c r="T3" s="415">
        <f t="shared" ref="T3" si="3">SUM(U3:V3)</f>
        <v>35967816</v>
      </c>
      <c r="U3" s="642">
        <v>12010603</v>
      </c>
      <c r="V3" s="505">
        <v>23957213</v>
      </c>
      <c r="W3" s="335">
        <f>V3/T3</f>
        <v>0.66607360869506227</v>
      </c>
    </row>
    <row r="4" spans="1:220" s="462" customFormat="1">
      <c r="A4" s="563">
        <v>2020</v>
      </c>
      <c r="B4" s="515">
        <v>52</v>
      </c>
      <c r="C4" s="515">
        <v>35.299999999999997</v>
      </c>
      <c r="D4" s="410">
        <f>SUM(B4:C4)</f>
        <v>87.3</v>
      </c>
      <c r="E4" s="411">
        <f>ROUND((O4/B4), 0)</f>
        <v>21</v>
      </c>
      <c r="F4" s="411">
        <f>ROUND((O4/D4), 0)</f>
        <v>12</v>
      </c>
      <c r="G4" s="515">
        <v>28</v>
      </c>
      <c r="H4" s="515">
        <v>9.24</v>
      </c>
      <c r="I4" s="515">
        <v>163</v>
      </c>
      <c r="J4" s="515">
        <v>218</v>
      </c>
      <c r="K4" s="410">
        <f t="shared" ref="K4" si="4">SUM(I4:J4)</f>
        <v>381</v>
      </c>
      <c r="L4" s="515">
        <v>158.19999999999999</v>
      </c>
      <c r="M4" s="411">
        <f>(I4+L4)</f>
        <v>321.2</v>
      </c>
      <c r="N4" s="515">
        <v>105</v>
      </c>
      <c r="O4" s="515">
        <v>1073.2</v>
      </c>
      <c r="P4" s="413">
        <f>M4/O4</f>
        <v>0.299291837495341</v>
      </c>
      <c r="Q4" s="515">
        <v>129</v>
      </c>
      <c r="R4" s="515">
        <v>370</v>
      </c>
      <c r="S4" s="505">
        <v>28595721</v>
      </c>
      <c r="T4" s="415">
        <f>SUM(U4:V4)</f>
        <v>33362881</v>
      </c>
      <c r="U4" s="505">
        <v>9850812</v>
      </c>
      <c r="V4" s="505">
        <v>23512069</v>
      </c>
      <c r="W4" s="335">
        <f>V4/T4</f>
        <v>0.70473736965341816</v>
      </c>
    </row>
    <row r="5" spans="1:220" s="462" customFormat="1">
      <c r="A5" s="563">
        <v>2019</v>
      </c>
      <c r="B5" s="515">
        <v>53</v>
      </c>
      <c r="C5" s="515">
        <v>35</v>
      </c>
      <c r="D5" s="410">
        <f>SUM(B5:C5)</f>
        <v>88</v>
      </c>
      <c r="E5" s="411">
        <f>ROUND((O5/B5), 0)</f>
        <v>27</v>
      </c>
      <c r="F5" s="411">
        <f>ROUND((O5/D5), 0)</f>
        <v>16</v>
      </c>
      <c r="G5" s="515">
        <v>25</v>
      </c>
      <c r="H5" s="515">
        <v>8.34</v>
      </c>
      <c r="I5" s="515">
        <v>130</v>
      </c>
      <c r="J5" s="515">
        <v>219</v>
      </c>
      <c r="K5" s="410">
        <f t="shared" ref="K5" si="5">SUM(I5:J5)</f>
        <v>349</v>
      </c>
      <c r="L5" s="515">
        <v>145.4</v>
      </c>
      <c r="M5" s="411">
        <f>(I5+L5)</f>
        <v>275.39999999999998</v>
      </c>
      <c r="N5" s="515">
        <v>85</v>
      </c>
      <c r="O5" s="515">
        <v>1430.4</v>
      </c>
      <c r="P5" s="413">
        <f>M5/O5</f>
        <v>0.19253355704697983</v>
      </c>
      <c r="Q5" s="515">
        <v>129</v>
      </c>
      <c r="R5" s="515">
        <v>358</v>
      </c>
      <c r="S5" s="505">
        <v>27301001</v>
      </c>
      <c r="T5" s="415">
        <f>SUM(U5:V5)</f>
        <v>25456786</v>
      </c>
      <c r="U5" s="505">
        <v>9814264</v>
      </c>
      <c r="V5" s="505">
        <v>15642522</v>
      </c>
      <c r="W5" s="335">
        <f>V5/T5</f>
        <v>0.61447356315915136</v>
      </c>
    </row>
    <row r="6" spans="1:220" s="17" customFormat="1">
      <c r="A6" s="33">
        <v>2018</v>
      </c>
      <c r="B6" s="20">
        <v>47</v>
      </c>
      <c r="C6" s="20">
        <v>25.9</v>
      </c>
      <c r="D6" s="29">
        <f>SUM(B6:C6)</f>
        <v>72.900000000000006</v>
      </c>
      <c r="E6" s="172">
        <f>ROUND((O6/B6), 0)</f>
        <v>22</v>
      </c>
      <c r="F6" s="172">
        <f>ROUND((O6/D6), 0)</f>
        <v>14</v>
      </c>
      <c r="G6" s="20">
        <v>20</v>
      </c>
      <c r="H6" s="20">
        <v>9.57</v>
      </c>
      <c r="I6" s="20">
        <v>132</v>
      </c>
      <c r="J6" s="20">
        <v>214</v>
      </c>
      <c r="K6" s="29">
        <f t="shared" ref="K6" si="6">SUM(I6:J6)</f>
        <v>346</v>
      </c>
      <c r="L6" s="20">
        <v>146.69999999999999</v>
      </c>
      <c r="M6" s="172">
        <f>(I6+L6)</f>
        <v>278.7</v>
      </c>
      <c r="N6" s="20">
        <v>79</v>
      </c>
      <c r="O6" s="20">
        <v>1045.0999999999999</v>
      </c>
      <c r="P6" s="183">
        <f>M6/O6</f>
        <v>0.26667304564156541</v>
      </c>
      <c r="Q6" s="20">
        <v>137</v>
      </c>
      <c r="R6" s="20">
        <v>317</v>
      </c>
      <c r="S6" s="24">
        <v>26155785</v>
      </c>
      <c r="T6" s="30">
        <f>SUM(U6:V6)</f>
        <v>42945995</v>
      </c>
      <c r="U6" s="24">
        <v>9223599</v>
      </c>
      <c r="V6" s="24">
        <v>33722396</v>
      </c>
      <c r="W6" s="185">
        <f>V6/T6</f>
        <v>0.78522795897498709</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48</v>
      </c>
      <c r="C7" s="20">
        <v>23</v>
      </c>
      <c r="D7" s="34">
        <f>SUM(B7:C7)</f>
        <v>71</v>
      </c>
      <c r="E7" s="34">
        <f>ROUND((O7/B7), 0)</f>
        <v>21</v>
      </c>
      <c r="F7" s="34">
        <f>ROUND((O7/D7), 0)</f>
        <v>14</v>
      </c>
      <c r="G7" s="20">
        <v>20</v>
      </c>
      <c r="H7" s="20">
        <v>5.83</v>
      </c>
      <c r="I7" s="20">
        <v>160</v>
      </c>
      <c r="J7" s="20">
        <v>195</v>
      </c>
      <c r="K7" s="34">
        <f>SUM(I7:J7)</f>
        <v>355</v>
      </c>
      <c r="L7" s="20">
        <v>131.4</v>
      </c>
      <c r="M7" s="36">
        <f>(I7+L7)</f>
        <v>291.39999999999998</v>
      </c>
      <c r="N7" s="344">
        <v>90</v>
      </c>
      <c r="O7" s="344">
        <v>1023.13</v>
      </c>
      <c r="P7" s="183">
        <f t="shared" ref="P7:P22" si="7">M7/O7</f>
        <v>0.28481229169313771</v>
      </c>
      <c r="Q7" s="20">
        <v>127</v>
      </c>
      <c r="R7" s="20">
        <v>310</v>
      </c>
      <c r="S7" s="300">
        <v>24221351</v>
      </c>
      <c r="T7" s="35">
        <f>SUM(U7:V7)</f>
        <v>25560556</v>
      </c>
      <c r="U7" s="341">
        <v>7627853</v>
      </c>
      <c r="V7" s="24">
        <v>17932703</v>
      </c>
      <c r="W7" s="185">
        <f t="shared" ref="W7:W20" si="8">V7/T7</f>
        <v>0.70157718791406576</v>
      </c>
    </row>
    <row r="8" spans="1:220" s="65" customFormat="1">
      <c r="A8" s="95">
        <v>2016</v>
      </c>
      <c r="B8" s="63">
        <v>47</v>
      </c>
      <c r="C8" s="63">
        <v>29</v>
      </c>
      <c r="D8" s="81">
        <f>B8+C8</f>
        <v>76</v>
      </c>
      <c r="E8" s="82">
        <f>ROUND((O8/B8), 0)</f>
        <v>21</v>
      </c>
      <c r="F8" s="82">
        <f>ROUND((O8/D8), 0)</f>
        <v>13</v>
      </c>
      <c r="G8" s="63">
        <v>19</v>
      </c>
      <c r="H8" s="63">
        <v>5.67</v>
      </c>
      <c r="I8" s="63">
        <v>148</v>
      </c>
      <c r="J8" s="63">
        <v>184</v>
      </c>
      <c r="K8" s="81">
        <f>I8+J8</f>
        <v>332</v>
      </c>
      <c r="L8" s="63">
        <v>122.1</v>
      </c>
      <c r="M8" s="82">
        <f>I8+L8</f>
        <v>270.10000000000002</v>
      </c>
      <c r="N8" s="63">
        <v>78</v>
      </c>
      <c r="O8" s="63">
        <v>996.36</v>
      </c>
      <c r="P8" s="183">
        <f t="shared" si="7"/>
        <v>0.27108675579107955</v>
      </c>
      <c r="Q8" s="63">
        <v>135</v>
      </c>
      <c r="R8" s="63">
        <v>246</v>
      </c>
      <c r="S8" s="64">
        <v>22970353</v>
      </c>
      <c r="T8" s="85">
        <f>SUM(U8:V8)</f>
        <v>28633649</v>
      </c>
      <c r="U8" s="64">
        <v>10439235</v>
      </c>
      <c r="V8" s="64">
        <v>18194414</v>
      </c>
      <c r="W8" s="185">
        <f t="shared" si="8"/>
        <v>0.63542072475638711</v>
      </c>
    </row>
    <row r="9" spans="1:220" s="105" customFormat="1">
      <c r="A9" s="267">
        <v>2015</v>
      </c>
      <c r="B9" s="91">
        <v>16</v>
      </c>
      <c r="C9" s="91">
        <v>21.48</v>
      </c>
      <c r="D9" s="81">
        <v>37.479999999999997</v>
      </c>
      <c r="E9" s="81">
        <v>54.8</v>
      </c>
      <c r="F9" s="81">
        <v>23.4</v>
      </c>
      <c r="G9" s="111"/>
      <c r="H9" s="111"/>
      <c r="I9" s="91">
        <v>166</v>
      </c>
      <c r="J9" s="91">
        <v>193</v>
      </c>
      <c r="K9" s="81">
        <v>359</v>
      </c>
      <c r="L9" s="91">
        <v>116</v>
      </c>
      <c r="M9" s="81">
        <v>281.60000000000002</v>
      </c>
      <c r="N9" s="91">
        <v>124</v>
      </c>
      <c r="O9" s="91">
        <v>877.44</v>
      </c>
      <c r="P9" s="183">
        <f t="shared" si="7"/>
        <v>0.32093362509117435</v>
      </c>
      <c r="Q9" s="91">
        <v>127</v>
      </c>
      <c r="R9" s="91">
        <v>232</v>
      </c>
      <c r="S9" s="102">
        <v>20519417</v>
      </c>
      <c r="T9" s="103">
        <v>22139558</v>
      </c>
      <c r="U9" s="102">
        <v>5840458</v>
      </c>
      <c r="V9" s="102">
        <v>16299100</v>
      </c>
      <c r="W9" s="185">
        <f t="shared" si="8"/>
        <v>0.73619807586041242</v>
      </c>
    </row>
    <row r="10" spans="1:220" s="105" customFormat="1">
      <c r="A10" s="90">
        <v>2014</v>
      </c>
      <c r="B10" s="91">
        <v>38</v>
      </c>
      <c r="C10" s="91">
        <v>21</v>
      </c>
      <c r="D10" s="81">
        <f>B10+C10</f>
        <v>59</v>
      </c>
      <c r="E10" s="82">
        <f t="shared" ref="E10:E22" si="9">ROUND((O10/B10), 0)</f>
        <v>21</v>
      </c>
      <c r="F10" s="82">
        <f t="shared" ref="F10:F22" si="10">ROUND((O10/D10), 0)</f>
        <v>13</v>
      </c>
      <c r="G10" s="111"/>
      <c r="H10" s="111"/>
      <c r="I10" s="91">
        <v>143</v>
      </c>
      <c r="J10" s="91">
        <v>205</v>
      </c>
      <c r="K10" s="81">
        <f>I10+J10</f>
        <v>348</v>
      </c>
      <c r="L10" s="91">
        <v>132.9</v>
      </c>
      <c r="M10" s="82">
        <f>I10+L10</f>
        <v>275.89999999999998</v>
      </c>
      <c r="N10" s="91">
        <v>83</v>
      </c>
      <c r="O10" s="91">
        <v>779</v>
      </c>
      <c r="P10" s="183">
        <f t="shared" si="7"/>
        <v>0.35417201540436455</v>
      </c>
      <c r="Q10" s="91">
        <v>130</v>
      </c>
      <c r="R10" s="91">
        <v>212</v>
      </c>
      <c r="S10" s="92">
        <v>18652982</v>
      </c>
      <c r="T10" s="85">
        <f t="shared" ref="T10:T22" si="11">SUM(U10:V10)</f>
        <v>19788643</v>
      </c>
      <c r="U10" s="92">
        <v>5385207</v>
      </c>
      <c r="V10" s="92">
        <v>14403436</v>
      </c>
      <c r="W10" s="185">
        <f t="shared" si="8"/>
        <v>0.72786375498309819</v>
      </c>
    </row>
    <row r="11" spans="1:220" s="71" customFormat="1">
      <c r="A11" s="90">
        <v>2013</v>
      </c>
      <c r="B11" s="361">
        <v>37</v>
      </c>
      <c r="C11" s="361">
        <v>14.9</v>
      </c>
      <c r="D11" s="108">
        <f>B11+C11</f>
        <v>51.9</v>
      </c>
      <c r="E11" s="109">
        <f t="shared" si="9"/>
        <v>18</v>
      </c>
      <c r="F11" s="109">
        <f t="shared" si="10"/>
        <v>13</v>
      </c>
      <c r="G11" s="113"/>
      <c r="H11" s="113"/>
      <c r="I11" s="361">
        <v>160</v>
      </c>
      <c r="J11" s="361">
        <v>188</v>
      </c>
      <c r="K11" s="108">
        <f>I11+J11</f>
        <v>348</v>
      </c>
      <c r="L11" s="361">
        <v>44</v>
      </c>
      <c r="M11" s="109">
        <f>I11+L11</f>
        <v>204</v>
      </c>
      <c r="N11" s="361">
        <v>75</v>
      </c>
      <c r="O11" s="361">
        <v>679.78</v>
      </c>
      <c r="P11" s="183">
        <f t="shared" si="7"/>
        <v>0.30009709023507608</v>
      </c>
      <c r="Q11" s="361">
        <v>154</v>
      </c>
      <c r="R11" s="361">
        <v>181</v>
      </c>
      <c r="S11" s="112">
        <v>16924468</v>
      </c>
      <c r="T11" s="110">
        <f t="shared" si="11"/>
        <v>17053041</v>
      </c>
      <c r="U11" s="112">
        <v>4421513</v>
      </c>
      <c r="V11" s="112">
        <v>12631528</v>
      </c>
      <c r="W11" s="185">
        <f t="shared" si="8"/>
        <v>0.74071996894864678</v>
      </c>
    </row>
    <row r="12" spans="1:220" s="71" customFormat="1">
      <c r="A12" s="90">
        <v>2012</v>
      </c>
      <c r="B12" s="361">
        <v>35</v>
      </c>
      <c r="C12" s="361">
        <v>14.2</v>
      </c>
      <c r="D12" s="108">
        <f>B12+C12</f>
        <v>49.2</v>
      </c>
      <c r="E12" s="109">
        <f t="shared" si="9"/>
        <v>21</v>
      </c>
      <c r="F12" s="109">
        <f t="shared" si="10"/>
        <v>15</v>
      </c>
      <c r="G12" s="113"/>
      <c r="H12" s="113"/>
      <c r="I12" s="361">
        <v>179</v>
      </c>
      <c r="J12" s="361">
        <v>194</v>
      </c>
      <c r="K12" s="108">
        <f>I12+J12</f>
        <v>373</v>
      </c>
      <c r="L12" s="361">
        <v>306.8</v>
      </c>
      <c r="M12" s="109">
        <f>I12+L12</f>
        <v>485.8</v>
      </c>
      <c r="N12" s="361">
        <v>57</v>
      </c>
      <c r="O12" s="361">
        <v>724</v>
      </c>
      <c r="P12" s="183">
        <f t="shared" si="7"/>
        <v>0.6709944751381216</v>
      </c>
      <c r="Q12" s="361">
        <v>130</v>
      </c>
      <c r="R12" s="361">
        <v>149</v>
      </c>
      <c r="S12" s="112">
        <v>16099453</v>
      </c>
      <c r="T12" s="110">
        <f t="shared" si="11"/>
        <v>17818603</v>
      </c>
      <c r="U12" s="112">
        <v>4893839</v>
      </c>
      <c r="V12" s="112">
        <v>12924764</v>
      </c>
      <c r="W12" s="185">
        <f t="shared" si="8"/>
        <v>0.72535226246412243</v>
      </c>
    </row>
    <row r="13" spans="1:220" s="71" customFormat="1">
      <c r="A13" s="90" t="s">
        <v>81</v>
      </c>
      <c r="B13" s="361">
        <v>34</v>
      </c>
      <c r="C13" s="361">
        <v>12.95</v>
      </c>
      <c r="D13" s="108">
        <f t="shared" ref="D13:D22" si="12">SUM(B13:C13)</f>
        <v>46.95</v>
      </c>
      <c r="E13" s="109">
        <f t="shared" si="9"/>
        <v>19</v>
      </c>
      <c r="F13" s="109">
        <f t="shared" si="10"/>
        <v>14</v>
      </c>
      <c r="G13" s="113"/>
      <c r="H13" s="113"/>
      <c r="I13" s="361">
        <v>148</v>
      </c>
      <c r="J13" s="361">
        <v>213</v>
      </c>
      <c r="K13" s="108">
        <f t="shared" ref="K13:K22" si="13">SUM(I13:J13)</f>
        <v>361</v>
      </c>
      <c r="L13" s="361">
        <v>141</v>
      </c>
      <c r="M13" s="109">
        <f t="shared" ref="M13:M22" si="14">(I13+L13)</f>
        <v>289</v>
      </c>
      <c r="N13" s="361">
        <v>53</v>
      </c>
      <c r="O13" s="361">
        <v>648.4</v>
      </c>
      <c r="P13" s="183">
        <f t="shared" si="7"/>
        <v>0.445712523133868</v>
      </c>
      <c r="Q13" s="361">
        <v>132</v>
      </c>
      <c r="R13" s="361">
        <v>159</v>
      </c>
      <c r="S13" s="112">
        <v>15651326</v>
      </c>
      <c r="T13" s="110">
        <f t="shared" si="11"/>
        <v>13631400</v>
      </c>
      <c r="U13" s="112">
        <v>5504300</v>
      </c>
      <c r="V13" s="112">
        <v>8127100</v>
      </c>
      <c r="W13" s="185">
        <f t="shared" si="8"/>
        <v>0.59620435171735842</v>
      </c>
    </row>
    <row r="14" spans="1:220" s="71" customFormat="1">
      <c r="A14" s="90" t="s">
        <v>82</v>
      </c>
      <c r="B14" s="361">
        <v>38</v>
      </c>
      <c r="C14" s="361">
        <v>11.67</v>
      </c>
      <c r="D14" s="108">
        <f t="shared" si="12"/>
        <v>49.67</v>
      </c>
      <c r="E14" s="109">
        <f t="shared" si="9"/>
        <v>16</v>
      </c>
      <c r="F14" s="109">
        <f t="shared" si="10"/>
        <v>12</v>
      </c>
      <c r="G14" s="113"/>
      <c r="H14" s="113"/>
      <c r="I14" s="361">
        <v>151</v>
      </c>
      <c r="J14" s="361">
        <v>202</v>
      </c>
      <c r="K14" s="108">
        <f t="shared" si="13"/>
        <v>353</v>
      </c>
      <c r="L14" s="361">
        <v>131.1</v>
      </c>
      <c r="M14" s="109">
        <f t="shared" si="14"/>
        <v>282.10000000000002</v>
      </c>
      <c r="N14" s="361">
        <v>50</v>
      </c>
      <c r="O14" s="361">
        <v>591.03</v>
      </c>
      <c r="P14" s="183">
        <f t="shared" si="7"/>
        <v>0.4773023365988191</v>
      </c>
      <c r="Q14" s="361">
        <v>139</v>
      </c>
      <c r="R14" s="361">
        <v>131</v>
      </c>
      <c r="S14" s="112">
        <v>14274374</v>
      </c>
      <c r="T14" s="110">
        <f t="shared" si="11"/>
        <v>16617517</v>
      </c>
      <c r="U14" s="112">
        <v>4632218</v>
      </c>
      <c r="V14" s="112">
        <v>11985299</v>
      </c>
      <c r="W14" s="185">
        <f t="shared" si="8"/>
        <v>0.72124487671653958</v>
      </c>
    </row>
    <row r="15" spans="1:220" s="71" customFormat="1">
      <c r="A15" s="90" t="s">
        <v>83</v>
      </c>
      <c r="B15" s="361">
        <v>41</v>
      </c>
      <c r="C15" s="361">
        <v>10.63</v>
      </c>
      <c r="D15" s="108">
        <f t="shared" si="12"/>
        <v>51.63</v>
      </c>
      <c r="E15" s="109">
        <f t="shared" si="9"/>
        <v>11</v>
      </c>
      <c r="F15" s="109">
        <f t="shared" si="10"/>
        <v>9</v>
      </c>
      <c r="G15" s="113"/>
      <c r="H15" s="113"/>
      <c r="I15" s="361">
        <v>146</v>
      </c>
      <c r="J15" s="361">
        <v>217</v>
      </c>
      <c r="K15" s="108">
        <f t="shared" si="13"/>
        <v>363</v>
      </c>
      <c r="L15" s="361">
        <v>138.69999999999999</v>
      </c>
      <c r="M15" s="109">
        <f t="shared" si="14"/>
        <v>284.7</v>
      </c>
      <c r="N15" s="361">
        <v>44</v>
      </c>
      <c r="O15" s="361">
        <v>453.65</v>
      </c>
      <c r="P15" s="183">
        <f t="shared" si="7"/>
        <v>0.62757632536096108</v>
      </c>
      <c r="Q15" s="361">
        <v>139</v>
      </c>
      <c r="R15" s="361">
        <v>64</v>
      </c>
      <c r="S15" s="112">
        <v>14244496</v>
      </c>
      <c r="T15" s="110">
        <f t="shared" si="11"/>
        <v>15723559</v>
      </c>
      <c r="U15" s="112">
        <v>5399901</v>
      </c>
      <c r="V15" s="112">
        <v>10323658</v>
      </c>
      <c r="W15" s="185">
        <f t="shared" si="8"/>
        <v>0.65657259911703192</v>
      </c>
    </row>
    <row r="16" spans="1:220" s="71" customFormat="1">
      <c r="A16" s="90" t="s">
        <v>84</v>
      </c>
      <c r="B16" s="361">
        <v>38</v>
      </c>
      <c r="C16" s="361">
        <v>10.87</v>
      </c>
      <c r="D16" s="108">
        <f t="shared" si="12"/>
        <v>48.87</v>
      </c>
      <c r="E16" s="109">
        <f t="shared" si="9"/>
        <v>14</v>
      </c>
      <c r="F16" s="109">
        <f t="shared" si="10"/>
        <v>11</v>
      </c>
      <c r="G16" s="113"/>
      <c r="H16" s="113"/>
      <c r="I16" s="361">
        <v>143</v>
      </c>
      <c r="J16" s="361">
        <v>234</v>
      </c>
      <c r="K16" s="108">
        <f t="shared" si="13"/>
        <v>377</v>
      </c>
      <c r="L16" s="361">
        <v>144.56</v>
      </c>
      <c r="M16" s="109">
        <f t="shared" si="14"/>
        <v>287.56</v>
      </c>
      <c r="N16" s="361">
        <v>58</v>
      </c>
      <c r="O16" s="361">
        <v>543</v>
      </c>
      <c r="P16" s="183">
        <f t="shared" si="7"/>
        <v>0.5295764272559853</v>
      </c>
      <c r="Q16" s="361">
        <v>104</v>
      </c>
      <c r="R16" s="361">
        <v>71</v>
      </c>
      <c r="S16" s="112">
        <v>12431120</v>
      </c>
      <c r="T16" s="110">
        <f t="shared" si="11"/>
        <v>14142282</v>
      </c>
      <c r="U16" s="112">
        <v>4668338</v>
      </c>
      <c r="V16" s="112">
        <v>9473944</v>
      </c>
      <c r="W16" s="185">
        <f t="shared" si="8"/>
        <v>0.66990207096704757</v>
      </c>
    </row>
    <row r="17" spans="1:23" s="71" customFormat="1">
      <c r="A17" s="90">
        <v>2007</v>
      </c>
      <c r="B17" s="361">
        <v>34</v>
      </c>
      <c r="C17" s="361">
        <v>10.17</v>
      </c>
      <c r="D17" s="194">
        <f t="shared" si="12"/>
        <v>44.17</v>
      </c>
      <c r="E17" s="109">
        <f t="shared" si="9"/>
        <v>16</v>
      </c>
      <c r="F17" s="109">
        <f t="shared" si="10"/>
        <v>12</v>
      </c>
      <c r="G17" s="113"/>
      <c r="H17" s="113"/>
      <c r="I17" s="361">
        <v>137</v>
      </c>
      <c r="J17" s="361">
        <v>233</v>
      </c>
      <c r="K17" s="194">
        <f t="shared" si="13"/>
        <v>370</v>
      </c>
      <c r="L17" s="361">
        <v>163.1</v>
      </c>
      <c r="M17" s="109">
        <f t="shared" si="14"/>
        <v>300.10000000000002</v>
      </c>
      <c r="N17" s="361">
        <v>47</v>
      </c>
      <c r="O17" s="361">
        <v>535</v>
      </c>
      <c r="P17" s="183">
        <f t="shared" si="7"/>
        <v>0.5609345794392524</v>
      </c>
      <c r="Q17" s="361">
        <v>122</v>
      </c>
      <c r="R17" s="361">
        <v>105</v>
      </c>
      <c r="S17" s="192">
        <v>10207500</v>
      </c>
      <c r="T17" s="110">
        <f t="shared" si="11"/>
        <v>10351800</v>
      </c>
      <c r="U17" s="192">
        <v>4610600</v>
      </c>
      <c r="V17" s="192">
        <v>5741200</v>
      </c>
      <c r="W17" s="185">
        <f t="shared" si="8"/>
        <v>0.55460886029482792</v>
      </c>
    </row>
    <row r="18" spans="1:23" s="71" customFormat="1">
      <c r="A18" s="90">
        <v>2006</v>
      </c>
      <c r="B18" s="361">
        <v>31</v>
      </c>
      <c r="C18" s="361">
        <v>7</v>
      </c>
      <c r="D18" s="194">
        <f t="shared" si="12"/>
        <v>38</v>
      </c>
      <c r="E18" s="109">
        <f t="shared" si="9"/>
        <v>16</v>
      </c>
      <c r="F18" s="109">
        <f t="shared" si="10"/>
        <v>13</v>
      </c>
      <c r="G18" s="113"/>
      <c r="H18" s="113"/>
      <c r="I18" s="361">
        <v>132</v>
      </c>
      <c r="J18" s="361">
        <v>232</v>
      </c>
      <c r="K18" s="194">
        <f t="shared" si="13"/>
        <v>364</v>
      </c>
      <c r="L18" s="361">
        <v>167</v>
      </c>
      <c r="M18" s="109">
        <f t="shared" si="14"/>
        <v>299</v>
      </c>
      <c r="N18" s="361">
        <v>43</v>
      </c>
      <c r="O18" s="361">
        <v>507</v>
      </c>
      <c r="P18" s="183">
        <f t="shared" si="7"/>
        <v>0.58974358974358976</v>
      </c>
      <c r="Q18" s="361">
        <v>107</v>
      </c>
      <c r="R18" s="361">
        <v>81</v>
      </c>
      <c r="S18" s="192">
        <v>9184800</v>
      </c>
      <c r="T18" s="110">
        <f t="shared" si="11"/>
        <v>9448300</v>
      </c>
      <c r="U18" s="192">
        <v>4533000</v>
      </c>
      <c r="V18" s="192">
        <v>4915300</v>
      </c>
      <c r="W18" s="185">
        <f t="shared" si="8"/>
        <v>0.52023115269413545</v>
      </c>
    </row>
    <row r="19" spans="1:23" s="71" customFormat="1">
      <c r="A19" s="90">
        <v>2005</v>
      </c>
      <c r="B19" s="361">
        <v>32</v>
      </c>
      <c r="C19" s="361">
        <v>9.5</v>
      </c>
      <c r="D19" s="194">
        <f t="shared" si="12"/>
        <v>41.5</v>
      </c>
      <c r="E19" s="109">
        <f t="shared" si="9"/>
        <v>15</v>
      </c>
      <c r="F19" s="109">
        <f t="shared" si="10"/>
        <v>12</v>
      </c>
      <c r="G19" s="113"/>
      <c r="H19" s="113"/>
      <c r="I19" s="361">
        <v>127</v>
      </c>
      <c r="J19" s="361">
        <v>212</v>
      </c>
      <c r="K19" s="194">
        <f t="shared" si="13"/>
        <v>339</v>
      </c>
      <c r="L19" s="361">
        <v>155.30000000000001</v>
      </c>
      <c r="M19" s="109">
        <f t="shared" si="14"/>
        <v>282.3</v>
      </c>
      <c r="N19" s="361">
        <v>26</v>
      </c>
      <c r="O19" s="361">
        <v>489.66</v>
      </c>
      <c r="P19" s="183">
        <f t="shared" si="7"/>
        <v>0.57652248498958458</v>
      </c>
      <c r="Q19" s="361">
        <v>208</v>
      </c>
      <c r="R19" s="361">
        <v>132</v>
      </c>
      <c r="S19" s="192">
        <v>8821200</v>
      </c>
      <c r="T19" s="110">
        <f t="shared" si="11"/>
        <v>8764000</v>
      </c>
      <c r="U19" s="192">
        <v>3830400</v>
      </c>
      <c r="V19" s="192">
        <v>4933600</v>
      </c>
      <c r="W19" s="185">
        <f t="shared" si="8"/>
        <v>0.56293929712460067</v>
      </c>
    </row>
    <row r="20" spans="1:23" s="71" customFormat="1" ht="14.45" hidden="1" customHeight="1">
      <c r="A20" s="90">
        <v>2004</v>
      </c>
      <c r="B20" s="195">
        <v>31</v>
      </c>
      <c r="C20" s="195">
        <v>7</v>
      </c>
      <c r="D20" s="194">
        <f t="shared" si="12"/>
        <v>38</v>
      </c>
      <c r="E20" s="109">
        <f t="shared" si="9"/>
        <v>14</v>
      </c>
      <c r="F20" s="109">
        <f t="shared" si="10"/>
        <v>11</v>
      </c>
      <c r="G20" s="113"/>
      <c r="H20" s="113"/>
      <c r="I20" s="195">
        <v>130</v>
      </c>
      <c r="J20" s="195">
        <v>205</v>
      </c>
      <c r="K20" s="194">
        <f t="shared" si="13"/>
        <v>335</v>
      </c>
      <c r="L20" s="195">
        <v>129</v>
      </c>
      <c r="M20" s="109">
        <f t="shared" si="14"/>
        <v>259</v>
      </c>
      <c r="N20" s="195">
        <v>15</v>
      </c>
      <c r="O20" s="195">
        <v>436.1</v>
      </c>
      <c r="P20" s="183">
        <f t="shared" si="7"/>
        <v>0.593900481540931</v>
      </c>
      <c r="Q20" s="195">
        <v>101</v>
      </c>
      <c r="R20" s="361">
        <v>62</v>
      </c>
      <c r="S20" s="192">
        <v>7316900</v>
      </c>
      <c r="T20" s="110">
        <f t="shared" si="11"/>
        <v>7640500</v>
      </c>
      <c r="U20" s="192">
        <v>4346400</v>
      </c>
      <c r="V20" s="192">
        <v>3294100</v>
      </c>
      <c r="W20" s="185">
        <f t="shared" si="8"/>
        <v>0.43113670571297691</v>
      </c>
    </row>
    <row r="21" spans="1:23" s="71" customFormat="1" ht="20.100000000000001" hidden="1" customHeight="1">
      <c r="A21" s="90">
        <v>2003</v>
      </c>
      <c r="B21" s="195">
        <v>27</v>
      </c>
      <c r="C21" s="195">
        <v>10</v>
      </c>
      <c r="D21" s="194">
        <f t="shared" si="12"/>
        <v>37</v>
      </c>
      <c r="E21" s="109">
        <f t="shared" si="9"/>
        <v>16</v>
      </c>
      <c r="F21" s="109">
        <f t="shared" si="10"/>
        <v>12</v>
      </c>
      <c r="G21" s="113"/>
      <c r="H21" s="113"/>
      <c r="I21" s="195">
        <v>145</v>
      </c>
      <c r="J21" s="195">
        <v>160</v>
      </c>
      <c r="K21" s="194">
        <f t="shared" si="13"/>
        <v>305</v>
      </c>
      <c r="L21" s="195">
        <v>132</v>
      </c>
      <c r="M21" s="109">
        <f t="shared" si="14"/>
        <v>277</v>
      </c>
      <c r="N21" s="195">
        <v>32</v>
      </c>
      <c r="O21" s="195">
        <v>435</v>
      </c>
      <c r="P21" s="67">
        <f t="shared" si="7"/>
        <v>0.63678160919540228</v>
      </c>
      <c r="Q21" s="195">
        <v>93</v>
      </c>
      <c r="R21" s="361">
        <v>72</v>
      </c>
      <c r="S21" s="192">
        <v>7640000</v>
      </c>
      <c r="T21" s="110">
        <f t="shared" si="11"/>
        <v>7757700</v>
      </c>
      <c r="U21" s="192">
        <v>4929400</v>
      </c>
      <c r="V21" s="192">
        <v>2828300</v>
      </c>
      <c r="W21" s="212">
        <f>(V21*100)/T21</f>
        <v>36.457970790311563</v>
      </c>
    </row>
    <row r="22" spans="1:23" s="71" customFormat="1" ht="20.100000000000001" hidden="1" customHeight="1">
      <c r="A22" s="90">
        <v>2002</v>
      </c>
      <c r="B22" s="195">
        <v>28</v>
      </c>
      <c r="C22" s="195">
        <v>5</v>
      </c>
      <c r="D22" s="194">
        <f t="shared" si="12"/>
        <v>33</v>
      </c>
      <c r="E22" s="109">
        <f t="shared" si="9"/>
        <v>13</v>
      </c>
      <c r="F22" s="109">
        <f t="shared" si="10"/>
        <v>11</v>
      </c>
      <c r="G22" s="113"/>
      <c r="H22" s="113"/>
      <c r="I22" s="195">
        <v>142</v>
      </c>
      <c r="J22" s="195">
        <v>135</v>
      </c>
      <c r="K22" s="194">
        <f t="shared" si="13"/>
        <v>277</v>
      </c>
      <c r="L22" s="195">
        <f>ROUND(81.9, 0)</f>
        <v>82</v>
      </c>
      <c r="M22" s="109">
        <f t="shared" si="14"/>
        <v>224</v>
      </c>
      <c r="N22" s="195">
        <v>33</v>
      </c>
      <c r="O22" s="195">
        <f>ROUND(359.3, 0)</f>
        <v>359</v>
      </c>
      <c r="P22" s="67">
        <f t="shared" si="7"/>
        <v>0.62395543175487467</v>
      </c>
      <c r="Q22" s="195">
        <v>111</v>
      </c>
      <c r="R22" s="361">
        <v>20</v>
      </c>
      <c r="S22" s="192">
        <v>5647300</v>
      </c>
      <c r="T22" s="110">
        <f t="shared" si="11"/>
        <v>5590500</v>
      </c>
      <c r="U22" s="192">
        <v>4006500</v>
      </c>
      <c r="V22" s="192">
        <v>1584000</v>
      </c>
      <c r="W22" s="212">
        <f>(V22*100)/T22</f>
        <v>28.333780520525892</v>
      </c>
    </row>
    <row r="23" spans="1:23" s="71" customFormat="1" ht="19.5" hidden="1" customHeight="1">
      <c r="A23" s="316"/>
      <c r="B23" s="317"/>
      <c r="C23" s="317"/>
      <c r="D23" s="318"/>
      <c r="E23" s="319"/>
      <c r="F23" s="319"/>
      <c r="I23" s="317"/>
      <c r="J23" s="317"/>
      <c r="K23" s="318"/>
      <c r="L23" s="317"/>
      <c r="M23" s="319"/>
      <c r="N23" s="320"/>
      <c r="O23" s="317"/>
      <c r="P23" s="319"/>
      <c r="Q23" s="317"/>
      <c r="R23" s="321"/>
      <c r="S23" s="322"/>
      <c r="T23" s="323"/>
      <c r="U23" s="322"/>
      <c r="V23" s="322"/>
      <c r="W23" s="319"/>
    </row>
    <row r="24" spans="1:23" s="71" customFormat="1" ht="19.5" hidden="1" customHeight="1">
      <c r="A24" s="324"/>
      <c r="B24" s="325"/>
      <c r="C24" s="325"/>
      <c r="D24" s="326"/>
      <c r="E24" s="327"/>
      <c r="F24" s="327"/>
      <c r="I24" s="325"/>
      <c r="J24" s="325"/>
      <c r="K24" s="326"/>
      <c r="L24" s="325"/>
      <c r="M24" s="327"/>
      <c r="N24" s="328"/>
      <c r="O24" s="325"/>
      <c r="P24" s="327"/>
      <c r="Q24" s="325"/>
      <c r="R24" s="329"/>
      <c r="S24" s="330"/>
      <c r="T24" s="239"/>
      <c r="U24" s="330"/>
      <c r="V24" s="330"/>
      <c r="W24" s="327"/>
    </row>
    <row r="25" spans="1:23" s="71" customFormat="1" ht="30" hidden="1" customHeight="1">
      <c r="A25" s="324"/>
      <c r="B25" s="325"/>
      <c r="C25" s="325"/>
      <c r="D25" s="326"/>
      <c r="E25" s="327"/>
      <c r="F25" s="327"/>
      <c r="I25" s="325"/>
      <c r="J25" s="325"/>
      <c r="K25" s="326"/>
      <c r="L25" s="328"/>
      <c r="M25" s="327"/>
      <c r="N25" s="328"/>
      <c r="O25" s="325"/>
      <c r="P25" s="327"/>
      <c r="Q25" s="325"/>
      <c r="R25" s="329"/>
      <c r="S25" s="330"/>
      <c r="T25" s="239"/>
      <c r="U25" s="330"/>
      <c r="V25" s="330"/>
      <c r="W25" s="327"/>
    </row>
    <row r="26" spans="1:23" s="71" customFormat="1" ht="14.45" customHeight="1">
      <c r="A26" s="666" t="s">
        <v>187</v>
      </c>
      <c r="B26" s="654"/>
      <c r="C26" s="654"/>
      <c r="D26" s="654"/>
      <c r="E26" s="654"/>
      <c r="F26" s="654"/>
      <c r="G26" s="654"/>
      <c r="H26" s="654"/>
      <c r="I26" s="654"/>
      <c r="J26" s="654"/>
      <c r="K26" s="654"/>
      <c r="L26" s="654"/>
      <c r="M26" s="654"/>
      <c r="N26" s="654"/>
      <c r="O26" s="654"/>
      <c r="P26" s="654"/>
      <c r="Q26" s="654"/>
      <c r="R26" s="654"/>
      <c r="S26" s="654"/>
      <c r="T26" s="654"/>
      <c r="U26" s="654"/>
      <c r="V26" s="654"/>
      <c r="W26" s="654"/>
    </row>
    <row r="27" spans="1:23" s="13" customFormat="1">
      <c r="A27" s="655" t="s">
        <v>138</v>
      </c>
      <c r="B27" s="656"/>
      <c r="C27" s="656"/>
      <c r="D27" s="656"/>
      <c r="E27" s="656"/>
      <c r="F27" s="656"/>
      <c r="G27" s="656"/>
      <c r="H27" s="656"/>
      <c r="I27" s="656"/>
      <c r="J27" s="656"/>
      <c r="K27" s="656"/>
      <c r="L27" s="656"/>
      <c r="M27" s="656"/>
      <c r="N27" s="656"/>
      <c r="O27" s="656"/>
      <c r="P27" s="656"/>
      <c r="Q27" s="656"/>
      <c r="R27" s="656"/>
      <c r="S27" s="656"/>
      <c r="T27" s="656"/>
      <c r="U27" s="656"/>
      <c r="V27" s="656"/>
      <c r="W27" s="656"/>
    </row>
    <row r="28" spans="1:23" s="13" customFormat="1">
      <c r="A28" s="98" t="s">
        <v>177</v>
      </c>
      <c r="B28" s="98"/>
      <c r="C28" s="98"/>
      <c r="D28" s="98"/>
      <c r="E28" s="98"/>
      <c r="F28" s="98"/>
      <c r="G28" s="395"/>
      <c r="H28" s="395"/>
      <c r="I28" s="98"/>
      <c r="J28" s="98"/>
      <c r="K28" s="98"/>
      <c r="L28" s="98"/>
      <c r="M28" s="98"/>
      <c r="N28" s="98"/>
      <c r="O28" s="98"/>
      <c r="P28" s="98"/>
      <c r="Q28" s="98"/>
      <c r="R28" s="98"/>
      <c r="S28" s="98"/>
      <c r="T28" s="98"/>
      <c r="U28" s="98"/>
      <c r="V28" s="98"/>
      <c r="W28" s="98"/>
    </row>
    <row r="29" spans="1:23" s="14" customFormat="1">
      <c r="A29" s="14" t="s">
        <v>212</v>
      </c>
      <c r="G29"/>
      <c r="H29"/>
    </row>
    <row r="30" spans="1:23" s="13" customFormat="1">
      <c r="G30" s="26"/>
      <c r="H30" s="26"/>
    </row>
    <row r="31" spans="1:23" s="14" customFormat="1">
      <c r="G31"/>
      <c r="H31"/>
    </row>
    <row r="32" spans="1:23" s="14" customFormat="1">
      <c r="G32"/>
      <c r="H32"/>
    </row>
    <row r="33" spans="7:8" s="14" customFormat="1">
      <c r="G33"/>
      <c r="H33"/>
    </row>
    <row r="34" spans="7:8" s="14" customFormat="1">
      <c r="G34"/>
      <c r="H34"/>
    </row>
    <row r="35" spans="7:8" s="14" customFormat="1">
      <c r="G35"/>
      <c r="H35"/>
    </row>
    <row r="36" spans="7:8" s="14" customFormat="1">
      <c r="G36"/>
      <c r="H36"/>
    </row>
  </sheetData>
  <mergeCells count="2">
    <mergeCell ref="A26:W26"/>
    <mergeCell ref="A27:W27"/>
  </mergeCells>
  <printOptions headings="1" gridLines="1"/>
  <pageMargins left="0.5" right="0.5" top="0.5" bottom="0.5" header="0" footer="0"/>
  <pageSetup paperSize="5" scale="66" orientation="landscape" r:id="rId1"/>
  <legacyDrawing r:id="rId2"/>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HL32"/>
  <sheetViews>
    <sheetView workbookViewId="0">
      <selection activeCell="H29" sqref="H29"/>
    </sheetView>
  </sheetViews>
  <sheetFormatPr defaultColWidth="8.85546875" defaultRowHeight="15"/>
  <cols>
    <col min="1" max="1" width="9.8554687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customWidth="1"/>
    <col min="21" max="21" width="10.42578125" customWidth="1"/>
    <col min="22" max="22" width="10.85546875" customWidth="1"/>
    <col min="23" max="23" width="12.85546875" customWidth="1"/>
  </cols>
  <sheetData>
    <row r="1" spans="1:220" s="8" customFormat="1" ht="18.75">
      <c r="A1" s="1" t="s">
        <v>55</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41" customFormat="1" ht="12" customHeight="1">
      <c r="A3" s="417">
        <v>2021</v>
      </c>
      <c r="B3" s="428">
        <v>13</v>
      </c>
      <c r="C3" s="428">
        <v>3</v>
      </c>
      <c r="D3" s="437">
        <f>SUM(B3:C3)</f>
        <v>16</v>
      </c>
      <c r="E3" s="427">
        <f t="shared" ref="E3" si="0">ROUND((O3/B3), 0)</f>
        <v>30</v>
      </c>
      <c r="F3" s="427">
        <f t="shared" ref="F3" si="1">ROUND((O3/D3), 0)</f>
        <v>24</v>
      </c>
      <c r="G3" s="428">
        <v>13</v>
      </c>
      <c r="H3" s="428">
        <v>3</v>
      </c>
      <c r="I3" s="428">
        <v>67</v>
      </c>
      <c r="J3" s="428">
        <v>300</v>
      </c>
      <c r="K3" s="437">
        <f t="shared" ref="K3" si="2">SUM(I3:J3)</f>
        <v>367</v>
      </c>
      <c r="L3" s="428">
        <v>195</v>
      </c>
      <c r="M3" s="427">
        <f>(I3+L3)</f>
        <v>262</v>
      </c>
      <c r="N3" s="428">
        <v>49</v>
      </c>
      <c r="O3" s="428">
        <v>389</v>
      </c>
      <c r="P3" s="438">
        <f t="shared" ref="P3" si="3">M3/O3</f>
        <v>0.67352185089974292</v>
      </c>
      <c r="Q3" s="428">
        <v>147</v>
      </c>
      <c r="R3" s="428">
        <v>29</v>
      </c>
      <c r="S3" s="430">
        <v>2578228</v>
      </c>
      <c r="T3" s="415">
        <f>SUM(U3:V3)</f>
        <v>2747932</v>
      </c>
      <c r="U3" s="430">
        <v>2657171</v>
      </c>
      <c r="V3" s="430">
        <v>90761</v>
      </c>
      <c r="W3" s="335">
        <f t="shared" ref="W3" si="4">V3/T3</f>
        <v>3.3028837685939824E-2</v>
      </c>
    </row>
    <row r="4" spans="1:220" s="441" customFormat="1" ht="12" customHeight="1">
      <c r="A4" s="417">
        <v>2020</v>
      </c>
      <c r="B4" s="428">
        <v>14</v>
      </c>
      <c r="C4" s="428">
        <v>3</v>
      </c>
      <c r="D4" s="437">
        <f>SUM(B4:C4)</f>
        <v>17</v>
      </c>
      <c r="E4" s="427">
        <f>ROUND((O4/B4), 0)</f>
        <v>21</v>
      </c>
      <c r="F4" s="427">
        <f>ROUND((O4/D4), 0)</f>
        <v>17</v>
      </c>
      <c r="G4" s="428">
        <v>14</v>
      </c>
      <c r="H4" s="428">
        <v>3</v>
      </c>
      <c r="I4" s="428">
        <v>70</v>
      </c>
      <c r="J4" s="428">
        <v>292</v>
      </c>
      <c r="K4" s="437">
        <f t="shared" ref="K4" si="5">SUM(I4:J4)</f>
        <v>362</v>
      </c>
      <c r="L4" s="428">
        <v>190</v>
      </c>
      <c r="M4" s="427">
        <f>(I4+L4)</f>
        <v>260</v>
      </c>
      <c r="N4" s="428">
        <v>50</v>
      </c>
      <c r="O4" s="428">
        <v>297</v>
      </c>
      <c r="P4" s="438">
        <f t="shared" ref="P4" si="6">M4/O4</f>
        <v>0.87542087542087543</v>
      </c>
      <c r="Q4" s="428">
        <v>139</v>
      </c>
      <c r="R4" s="428">
        <v>5</v>
      </c>
      <c r="S4" s="430">
        <v>2491315</v>
      </c>
      <c r="T4" s="415">
        <v>2491865</v>
      </c>
      <c r="U4" s="430">
        <v>2446615</v>
      </c>
      <c r="V4" s="430">
        <v>45250</v>
      </c>
      <c r="W4" s="335">
        <f t="shared" ref="W4" si="7">V4/T4</f>
        <v>1.8159089677811598E-2</v>
      </c>
    </row>
    <row r="5" spans="1:220" s="441" customFormat="1">
      <c r="A5" s="417">
        <v>2019</v>
      </c>
      <c r="B5" s="428">
        <v>14</v>
      </c>
      <c r="C5" s="428">
        <v>3</v>
      </c>
      <c r="D5" s="437">
        <f>SUM(B5:C5)</f>
        <v>17</v>
      </c>
      <c r="E5" s="427">
        <f>ROUND((O5/B5), 0)</f>
        <v>22</v>
      </c>
      <c r="F5" s="427">
        <f>ROUND((O5/D5), 0)</f>
        <v>18</v>
      </c>
      <c r="G5" s="428">
        <v>14</v>
      </c>
      <c r="H5" s="428">
        <v>8</v>
      </c>
      <c r="I5" s="428">
        <v>86</v>
      </c>
      <c r="J5" s="428">
        <v>330</v>
      </c>
      <c r="K5" s="437">
        <f>SUM(I5:J5)</f>
        <v>416</v>
      </c>
      <c r="L5" s="428">
        <v>208</v>
      </c>
      <c r="M5" s="427">
        <f>(I5+L5)</f>
        <v>294</v>
      </c>
      <c r="N5" s="428">
        <v>86</v>
      </c>
      <c r="O5" s="428">
        <v>306</v>
      </c>
      <c r="P5" s="438">
        <f>M5/O5</f>
        <v>0.96078431372549022</v>
      </c>
      <c r="Q5" s="428">
        <v>134</v>
      </c>
      <c r="R5" s="428">
        <v>43</v>
      </c>
      <c r="S5" s="430">
        <v>2942028</v>
      </c>
      <c r="T5" s="415">
        <f>SUM(U5:V5)</f>
        <v>2942028</v>
      </c>
      <c r="U5" s="430">
        <v>2915828</v>
      </c>
      <c r="V5" s="430">
        <v>26200</v>
      </c>
      <c r="W5" s="335">
        <f>V5/T5</f>
        <v>8.9054217023087478E-3</v>
      </c>
    </row>
    <row r="6" spans="1:220" s="17" customFormat="1">
      <c r="A6" s="33">
        <v>2018</v>
      </c>
      <c r="B6" s="20">
        <v>12</v>
      </c>
      <c r="C6" s="20">
        <v>8</v>
      </c>
      <c r="D6" s="29">
        <f>SUM(B6:C6)</f>
        <v>20</v>
      </c>
      <c r="E6" s="172">
        <f>ROUND((O6/B6), 0)</f>
        <v>25</v>
      </c>
      <c r="F6" s="172">
        <f>ROUND((O6/D6), 0)</f>
        <v>15</v>
      </c>
      <c r="G6" s="20">
        <v>12</v>
      </c>
      <c r="H6" s="20">
        <v>8</v>
      </c>
      <c r="I6" s="20">
        <v>85</v>
      </c>
      <c r="J6" s="20">
        <v>319</v>
      </c>
      <c r="K6" s="29">
        <f>SUM(I6:J6)</f>
        <v>404</v>
      </c>
      <c r="L6" s="20">
        <v>211</v>
      </c>
      <c r="M6" s="172">
        <f>(I6+L6)</f>
        <v>296</v>
      </c>
      <c r="N6" s="20">
        <v>83</v>
      </c>
      <c r="O6" s="20">
        <v>296</v>
      </c>
      <c r="P6" s="183">
        <f>M6/O6</f>
        <v>1</v>
      </c>
      <c r="Q6" s="20">
        <v>150</v>
      </c>
      <c r="R6" s="20">
        <v>0</v>
      </c>
      <c r="S6" s="24">
        <v>2887027</v>
      </c>
      <c r="T6" s="30">
        <f>SUM(U6:V6)</f>
        <v>2887027</v>
      </c>
      <c r="U6" s="24">
        <v>2853938</v>
      </c>
      <c r="V6" s="24">
        <v>33089</v>
      </c>
      <c r="W6" s="185">
        <f>V6/T6</f>
        <v>1.1461271404805013E-2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13</v>
      </c>
      <c r="C7" s="20">
        <v>5</v>
      </c>
      <c r="D7" s="34">
        <f>SUM(B7:C7)</f>
        <v>18</v>
      </c>
      <c r="E7" s="34">
        <f>ROUND((O7/B7), 0)</f>
        <v>18</v>
      </c>
      <c r="F7" s="34">
        <f>ROUND((O7/D7), 0)</f>
        <v>13</v>
      </c>
      <c r="G7" s="20">
        <v>13</v>
      </c>
      <c r="H7" s="20">
        <v>5</v>
      </c>
      <c r="I7" s="20">
        <v>100</v>
      </c>
      <c r="J7" s="20">
        <v>367</v>
      </c>
      <c r="K7" s="34">
        <f>SUM(I7:J7)</f>
        <v>467</v>
      </c>
      <c r="L7" s="20">
        <v>133</v>
      </c>
      <c r="M7" s="36">
        <f>(I7+L7)</f>
        <v>233</v>
      </c>
      <c r="N7" s="344">
        <v>101</v>
      </c>
      <c r="O7" s="344">
        <v>233</v>
      </c>
      <c r="P7" s="183">
        <f t="shared" ref="P7:P22" si="8">M7/O7</f>
        <v>1</v>
      </c>
      <c r="Q7" s="20">
        <v>145</v>
      </c>
      <c r="R7" s="20">
        <v>0</v>
      </c>
      <c r="S7" s="300">
        <v>2767454</v>
      </c>
      <c r="T7" s="35">
        <f>SUM(U7:V7)</f>
        <v>2767454</v>
      </c>
      <c r="U7" s="341">
        <v>2767454</v>
      </c>
      <c r="V7" s="24">
        <v>0</v>
      </c>
      <c r="W7" s="185">
        <f t="shared" ref="W7:W22" si="9">V7/T7</f>
        <v>0</v>
      </c>
    </row>
    <row r="8" spans="1:220" s="65" customFormat="1">
      <c r="A8" s="95">
        <v>2016</v>
      </c>
      <c r="B8" s="63">
        <v>12</v>
      </c>
      <c r="C8" s="63">
        <v>4</v>
      </c>
      <c r="D8" s="81">
        <f>B8+C8</f>
        <v>16</v>
      </c>
      <c r="E8" s="82">
        <f>ROUND((O8/B8), 0)</f>
        <v>19</v>
      </c>
      <c r="F8" s="82">
        <f>ROUND((O8/D8), 0)</f>
        <v>14</v>
      </c>
      <c r="G8" s="83">
        <v>12</v>
      </c>
      <c r="H8" s="83">
        <v>4</v>
      </c>
      <c r="I8" s="63">
        <v>90</v>
      </c>
      <c r="J8" s="63">
        <v>376</v>
      </c>
      <c r="K8" s="81">
        <f>I8+J8</f>
        <v>466</v>
      </c>
      <c r="L8" s="63">
        <v>136</v>
      </c>
      <c r="M8" s="82">
        <f>I8+L8</f>
        <v>226</v>
      </c>
      <c r="N8" s="63">
        <v>104</v>
      </c>
      <c r="O8" s="63">
        <v>226</v>
      </c>
      <c r="P8" s="183">
        <f t="shared" si="8"/>
        <v>1</v>
      </c>
      <c r="Q8" s="63">
        <v>187</v>
      </c>
      <c r="R8" s="63">
        <v>0</v>
      </c>
      <c r="S8" s="69">
        <v>2985109</v>
      </c>
      <c r="T8" s="85">
        <f>SUM(U8:V8)</f>
        <v>2985109</v>
      </c>
      <c r="U8" s="69">
        <v>2781962</v>
      </c>
      <c r="V8" s="69">
        <v>203147</v>
      </c>
      <c r="W8" s="185">
        <f t="shared" si="9"/>
        <v>6.8053461364392387E-2</v>
      </c>
    </row>
    <row r="9" spans="1:220" s="101" customFormat="1">
      <c r="A9" s="95">
        <v>2015</v>
      </c>
      <c r="B9" s="63">
        <v>12</v>
      </c>
      <c r="C9" s="63">
        <v>1.7</v>
      </c>
      <c r="D9" s="87">
        <v>13.7</v>
      </c>
      <c r="E9" s="87">
        <v>19.600000000000001</v>
      </c>
      <c r="F9" s="87">
        <v>17.2</v>
      </c>
      <c r="G9" s="111"/>
      <c r="H9" s="111"/>
      <c r="I9" s="63">
        <v>77</v>
      </c>
      <c r="J9" s="63">
        <v>360</v>
      </c>
      <c r="K9" s="87">
        <v>437</v>
      </c>
      <c r="L9" s="63">
        <v>158</v>
      </c>
      <c r="M9" s="87">
        <v>235</v>
      </c>
      <c r="N9" s="63">
        <v>96</v>
      </c>
      <c r="O9" s="63">
        <v>235</v>
      </c>
      <c r="P9" s="183">
        <f t="shared" si="8"/>
        <v>1</v>
      </c>
      <c r="Q9" s="63">
        <v>164</v>
      </c>
      <c r="R9" s="63">
        <v>35</v>
      </c>
      <c r="S9" s="102">
        <v>3027147</v>
      </c>
      <c r="T9" s="103">
        <v>3026966</v>
      </c>
      <c r="U9" s="102">
        <v>2740562</v>
      </c>
      <c r="V9" s="102">
        <v>286404</v>
      </c>
      <c r="W9" s="185">
        <f t="shared" si="9"/>
        <v>9.4617514699537428E-2</v>
      </c>
    </row>
    <row r="10" spans="1:220" s="168" customFormat="1">
      <c r="A10" s="90">
        <v>2014</v>
      </c>
      <c r="B10" s="91">
        <v>14</v>
      </c>
      <c r="C10" s="91">
        <v>2</v>
      </c>
      <c r="D10" s="81">
        <f>B10+C10</f>
        <v>16</v>
      </c>
      <c r="E10" s="82">
        <f t="shared" ref="E10:E22" si="10">ROUND((O10/B10), 0)</f>
        <v>25</v>
      </c>
      <c r="F10" s="82">
        <f t="shared" ref="F10:F22" si="11">ROUND((O10/D10), 0)</f>
        <v>22</v>
      </c>
      <c r="G10" s="111"/>
      <c r="H10" s="111"/>
      <c r="I10" s="91">
        <v>76</v>
      </c>
      <c r="J10" s="91">
        <v>398</v>
      </c>
      <c r="K10" s="81">
        <f>I10+J10</f>
        <v>474</v>
      </c>
      <c r="L10" s="91">
        <v>258</v>
      </c>
      <c r="M10" s="82">
        <f>I10+L10</f>
        <v>334</v>
      </c>
      <c r="N10" s="91">
        <v>74</v>
      </c>
      <c r="O10" s="91">
        <v>352</v>
      </c>
      <c r="P10" s="183">
        <f t="shared" si="8"/>
        <v>0.94886363636363635</v>
      </c>
      <c r="Q10" s="91">
        <v>162</v>
      </c>
      <c r="R10" s="91">
        <v>15</v>
      </c>
      <c r="S10" s="92">
        <v>2929816</v>
      </c>
      <c r="T10" s="85">
        <f t="shared" ref="T10:T22" si="12">SUM(U10:V10)</f>
        <v>2929813</v>
      </c>
      <c r="U10" s="92">
        <v>2772350</v>
      </c>
      <c r="V10" s="92">
        <v>157463</v>
      </c>
      <c r="W10" s="185">
        <f t="shared" si="9"/>
        <v>5.3745068371257823E-2</v>
      </c>
    </row>
    <row r="11" spans="1:220" s="71" customFormat="1">
      <c r="A11" s="90">
        <v>2013</v>
      </c>
      <c r="B11" s="361">
        <v>14</v>
      </c>
      <c r="C11" s="361">
        <v>9</v>
      </c>
      <c r="D11" s="108">
        <f>B11+C11</f>
        <v>23</v>
      </c>
      <c r="E11" s="109">
        <f t="shared" si="10"/>
        <v>25</v>
      </c>
      <c r="F11" s="109">
        <f t="shared" si="11"/>
        <v>15</v>
      </c>
      <c r="G11" s="113"/>
      <c r="H11" s="113"/>
      <c r="I11" s="361">
        <v>112</v>
      </c>
      <c r="J11" s="361">
        <v>362</v>
      </c>
      <c r="K11" s="108">
        <f>I11+J11</f>
        <v>474</v>
      </c>
      <c r="L11" s="361">
        <v>235</v>
      </c>
      <c r="M11" s="109">
        <f>I11+L11</f>
        <v>347</v>
      </c>
      <c r="N11" s="361">
        <v>52</v>
      </c>
      <c r="O11" s="361">
        <v>347</v>
      </c>
      <c r="P11" s="183">
        <f t="shared" si="8"/>
        <v>1</v>
      </c>
      <c r="Q11" s="361">
        <v>186</v>
      </c>
      <c r="R11" s="361">
        <v>0</v>
      </c>
      <c r="S11" s="112">
        <v>3271070</v>
      </c>
      <c r="T11" s="110">
        <f t="shared" si="12"/>
        <v>3269080</v>
      </c>
      <c r="U11" s="112">
        <v>3037153</v>
      </c>
      <c r="V11" s="112">
        <v>231927</v>
      </c>
      <c r="W11" s="185">
        <f t="shared" si="9"/>
        <v>7.0945648316957682E-2</v>
      </c>
    </row>
    <row r="12" spans="1:220" s="71" customFormat="1">
      <c r="A12" s="90">
        <v>2012</v>
      </c>
      <c r="B12" s="361">
        <v>14</v>
      </c>
      <c r="C12" s="361">
        <v>10.3</v>
      </c>
      <c r="D12" s="108">
        <f>B12+C12</f>
        <v>24.3</v>
      </c>
      <c r="E12" s="109">
        <f t="shared" si="10"/>
        <v>28</v>
      </c>
      <c r="F12" s="109">
        <f t="shared" si="11"/>
        <v>16</v>
      </c>
      <c r="G12" s="113"/>
      <c r="H12" s="113"/>
      <c r="I12" s="361">
        <v>136</v>
      </c>
      <c r="J12" s="361">
        <v>384</v>
      </c>
      <c r="K12" s="108">
        <f>I12+J12</f>
        <v>520</v>
      </c>
      <c r="L12" s="361">
        <v>247</v>
      </c>
      <c r="M12" s="109">
        <f>I12+L12</f>
        <v>383</v>
      </c>
      <c r="N12" s="361">
        <v>37</v>
      </c>
      <c r="O12" s="361">
        <v>390</v>
      </c>
      <c r="P12" s="183">
        <f t="shared" si="8"/>
        <v>0.982051282051282</v>
      </c>
      <c r="Q12" s="361">
        <v>182</v>
      </c>
      <c r="R12" s="361">
        <v>53</v>
      </c>
      <c r="S12" s="112">
        <v>2045077</v>
      </c>
      <c r="T12" s="110">
        <f t="shared" si="12"/>
        <v>3780595</v>
      </c>
      <c r="U12" s="112">
        <v>3394778</v>
      </c>
      <c r="V12" s="112">
        <v>385817</v>
      </c>
      <c r="W12" s="185">
        <f t="shared" si="9"/>
        <v>0.10205192568894579</v>
      </c>
    </row>
    <row r="13" spans="1:220" s="71" customFormat="1">
      <c r="A13" s="90" t="s">
        <v>81</v>
      </c>
      <c r="B13" s="361">
        <v>13</v>
      </c>
      <c r="C13" s="361">
        <v>6</v>
      </c>
      <c r="D13" s="108">
        <f t="shared" ref="D13:D22" si="13">SUM(B13:C13)</f>
        <v>19</v>
      </c>
      <c r="E13" s="109">
        <f t="shared" si="10"/>
        <v>27</v>
      </c>
      <c r="F13" s="109">
        <f t="shared" si="11"/>
        <v>19</v>
      </c>
      <c r="G13" s="113"/>
      <c r="H13" s="113"/>
      <c r="I13" s="361">
        <v>113</v>
      </c>
      <c r="J13" s="361">
        <v>419</v>
      </c>
      <c r="K13" s="108">
        <f t="shared" ref="K13:K22" si="14">SUM(I13:J13)</f>
        <v>532</v>
      </c>
      <c r="L13" s="361">
        <v>232</v>
      </c>
      <c r="M13" s="109">
        <f t="shared" ref="M13:M22" si="15">(I13+L13)</f>
        <v>345</v>
      </c>
      <c r="N13" s="361">
        <v>63</v>
      </c>
      <c r="O13" s="361">
        <v>353.5</v>
      </c>
      <c r="P13" s="183">
        <f t="shared" si="8"/>
        <v>0.9759547383309759</v>
      </c>
      <c r="Q13" s="361">
        <v>220</v>
      </c>
      <c r="R13" s="361">
        <v>39</v>
      </c>
      <c r="S13" s="112">
        <v>3629831</v>
      </c>
      <c r="T13" s="110">
        <f t="shared" si="12"/>
        <v>3822100</v>
      </c>
      <c r="U13" s="112">
        <v>3713997</v>
      </c>
      <c r="V13" s="112">
        <v>108103</v>
      </c>
      <c r="W13" s="185">
        <f t="shared" si="9"/>
        <v>2.8283666047460819E-2</v>
      </c>
    </row>
    <row r="14" spans="1:220" s="71" customFormat="1">
      <c r="A14" s="90" t="s">
        <v>82</v>
      </c>
      <c r="B14" s="361">
        <v>13</v>
      </c>
      <c r="C14" s="361">
        <v>4.5</v>
      </c>
      <c r="D14" s="108">
        <f t="shared" si="13"/>
        <v>17.5</v>
      </c>
      <c r="E14" s="109">
        <f t="shared" si="10"/>
        <v>33</v>
      </c>
      <c r="F14" s="109">
        <f t="shared" si="11"/>
        <v>25</v>
      </c>
      <c r="G14" s="113"/>
      <c r="H14" s="113"/>
      <c r="I14" s="361">
        <v>148</v>
      </c>
      <c r="J14" s="361">
        <v>434</v>
      </c>
      <c r="K14" s="108">
        <f t="shared" si="14"/>
        <v>582</v>
      </c>
      <c r="L14" s="361">
        <v>270</v>
      </c>
      <c r="M14" s="109">
        <f t="shared" si="15"/>
        <v>418</v>
      </c>
      <c r="N14" s="361">
        <v>47</v>
      </c>
      <c r="O14" s="361">
        <v>429.3</v>
      </c>
      <c r="P14" s="183">
        <f t="shared" si="8"/>
        <v>0.97367808059631955</v>
      </c>
      <c r="Q14" s="361">
        <v>180</v>
      </c>
      <c r="R14" s="361">
        <v>34</v>
      </c>
      <c r="S14" s="112">
        <v>3884891.5749599999</v>
      </c>
      <c r="T14" s="110">
        <f t="shared" si="12"/>
        <v>3989291.5749600008</v>
      </c>
      <c r="U14" s="112">
        <v>3828797.5749600008</v>
      </c>
      <c r="V14" s="112">
        <v>160494</v>
      </c>
      <c r="W14" s="185">
        <f t="shared" si="9"/>
        <v>4.0231203205949972E-2</v>
      </c>
    </row>
    <row r="15" spans="1:220" s="71" customFormat="1">
      <c r="A15" s="90" t="s">
        <v>83</v>
      </c>
      <c r="B15" s="361">
        <v>18</v>
      </c>
      <c r="C15" s="361">
        <v>10.5</v>
      </c>
      <c r="D15" s="108">
        <f t="shared" si="13"/>
        <v>28.5</v>
      </c>
      <c r="E15" s="109">
        <f t="shared" si="10"/>
        <v>25</v>
      </c>
      <c r="F15" s="109">
        <f t="shared" si="11"/>
        <v>16</v>
      </c>
      <c r="G15" s="113"/>
      <c r="H15" s="113"/>
      <c r="I15" s="361">
        <v>134</v>
      </c>
      <c r="J15" s="361">
        <v>454</v>
      </c>
      <c r="K15" s="108">
        <f t="shared" si="14"/>
        <v>588</v>
      </c>
      <c r="L15" s="361">
        <v>284</v>
      </c>
      <c r="M15" s="109">
        <f t="shared" si="15"/>
        <v>418</v>
      </c>
      <c r="N15" s="361">
        <v>53</v>
      </c>
      <c r="O15" s="361">
        <v>453.97</v>
      </c>
      <c r="P15" s="183">
        <f t="shared" si="8"/>
        <v>0.92076568936273318</v>
      </c>
      <c r="Q15" s="361">
        <v>217</v>
      </c>
      <c r="R15" s="361">
        <v>38</v>
      </c>
      <c r="S15" s="112">
        <v>3509657</v>
      </c>
      <c r="T15" s="110">
        <f t="shared" si="12"/>
        <v>3509656.0251319986</v>
      </c>
      <c r="U15" s="112">
        <v>3424695.0251319986</v>
      </c>
      <c r="V15" s="112">
        <v>84961</v>
      </c>
      <c r="W15" s="185">
        <f t="shared" si="9"/>
        <v>2.4207785432991145E-2</v>
      </c>
    </row>
    <row r="16" spans="1:220" s="71" customFormat="1">
      <c r="A16" s="90" t="s">
        <v>84</v>
      </c>
      <c r="B16" s="361">
        <v>17</v>
      </c>
      <c r="C16" s="361">
        <v>10</v>
      </c>
      <c r="D16" s="108">
        <f t="shared" si="13"/>
        <v>27</v>
      </c>
      <c r="E16" s="109">
        <f t="shared" si="10"/>
        <v>24</v>
      </c>
      <c r="F16" s="109">
        <f t="shared" si="11"/>
        <v>15</v>
      </c>
      <c r="G16" s="113"/>
      <c r="H16" s="113"/>
      <c r="I16" s="361">
        <v>143</v>
      </c>
      <c r="J16" s="361">
        <v>424</v>
      </c>
      <c r="K16" s="108">
        <f t="shared" si="14"/>
        <v>567</v>
      </c>
      <c r="L16" s="361">
        <v>238</v>
      </c>
      <c r="M16" s="109">
        <f t="shared" si="15"/>
        <v>381</v>
      </c>
      <c r="N16" s="361">
        <v>65</v>
      </c>
      <c r="O16" s="361">
        <v>415</v>
      </c>
      <c r="P16" s="183">
        <f t="shared" si="8"/>
        <v>0.91807228915662653</v>
      </c>
      <c r="Q16" s="361">
        <v>202</v>
      </c>
      <c r="R16" s="361">
        <v>29</v>
      </c>
      <c r="S16" s="112">
        <v>3133065</v>
      </c>
      <c r="T16" s="110">
        <f t="shared" si="12"/>
        <v>3133065</v>
      </c>
      <c r="U16" s="112">
        <v>3037139</v>
      </c>
      <c r="V16" s="112">
        <v>95926</v>
      </c>
      <c r="W16" s="185">
        <f t="shared" si="9"/>
        <v>3.0617302864766612E-2</v>
      </c>
    </row>
    <row r="17" spans="1:23" s="71" customFormat="1">
      <c r="A17" s="90">
        <v>2007</v>
      </c>
      <c r="B17" s="361">
        <v>14</v>
      </c>
      <c r="C17" s="361">
        <v>4</v>
      </c>
      <c r="D17" s="194">
        <f t="shared" si="13"/>
        <v>18</v>
      </c>
      <c r="E17" s="109">
        <f t="shared" si="10"/>
        <v>27</v>
      </c>
      <c r="F17" s="109">
        <f t="shared" si="11"/>
        <v>21</v>
      </c>
      <c r="G17" s="113"/>
      <c r="H17" s="113"/>
      <c r="I17" s="361">
        <v>115</v>
      </c>
      <c r="J17" s="361">
        <v>413</v>
      </c>
      <c r="K17" s="194">
        <f t="shared" si="14"/>
        <v>528</v>
      </c>
      <c r="L17" s="361">
        <v>224</v>
      </c>
      <c r="M17" s="109">
        <f t="shared" si="15"/>
        <v>339</v>
      </c>
      <c r="N17" s="361">
        <v>67</v>
      </c>
      <c r="O17" s="361">
        <v>376</v>
      </c>
      <c r="P17" s="183">
        <f t="shared" si="8"/>
        <v>0.90159574468085102</v>
      </c>
      <c r="Q17" s="361">
        <v>202</v>
      </c>
      <c r="R17" s="361">
        <v>21</v>
      </c>
      <c r="S17" s="192">
        <v>3059866</v>
      </c>
      <c r="T17" s="110">
        <f t="shared" si="12"/>
        <v>3059866</v>
      </c>
      <c r="U17" s="192">
        <v>2561646</v>
      </c>
      <c r="V17" s="192">
        <v>498220</v>
      </c>
      <c r="W17" s="185">
        <f t="shared" si="9"/>
        <v>0.16282412367077512</v>
      </c>
    </row>
    <row r="18" spans="1:23" s="71" customFormat="1">
      <c r="A18" s="90">
        <v>2006</v>
      </c>
      <c r="B18" s="361">
        <v>14</v>
      </c>
      <c r="C18" s="361">
        <v>5</v>
      </c>
      <c r="D18" s="194">
        <f t="shared" si="13"/>
        <v>19</v>
      </c>
      <c r="E18" s="109">
        <f t="shared" si="10"/>
        <v>24</v>
      </c>
      <c r="F18" s="109">
        <f t="shared" si="11"/>
        <v>18</v>
      </c>
      <c r="G18" s="113"/>
      <c r="H18" s="113"/>
      <c r="I18" s="361">
        <v>114</v>
      </c>
      <c r="J18" s="361">
        <v>411</v>
      </c>
      <c r="K18" s="194">
        <f t="shared" si="14"/>
        <v>525</v>
      </c>
      <c r="L18" s="361">
        <v>219</v>
      </c>
      <c r="M18" s="109">
        <f t="shared" si="15"/>
        <v>333</v>
      </c>
      <c r="N18" s="361">
        <v>70</v>
      </c>
      <c r="O18" s="361">
        <v>336</v>
      </c>
      <c r="P18" s="183">
        <f t="shared" si="8"/>
        <v>0.9910714285714286</v>
      </c>
      <c r="Q18" s="361">
        <v>237</v>
      </c>
      <c r="R18" s="361">
        <v>0</v>
      </c>
      <c r="S18" s="192">
        <v>2769408</v>
      </c>
      <c r="T18" s="110">
        <f t="shared" si="12"/>
        <v>2769408</v>
      </c>
      <c r="U18" s="192">
        <v>2365400</v>
      </c>
      <c r="V18" s="192">
        <v>404008</v>
      </c>
      <c r="W18" s="185">
        <f t="shared" si="9"/>
        <v>0.14588244130153449</v>
      </c>
    </row>
    <row r="19" spans="1:23" s="71" customFormat="1">
      <c r="A19" s="90">
        <v>2005</v>
      </c>
      <c r="B19" s="361">
        <v>15</v>
      </c>
      <c r="C19" s="361">
        <v>4.5</v>
      </c>
      <c r="D19" s="194">
        <f t="shared" si="13"/>
        <v>19.5</v>
      </c>
      <c r="E19" s="109">
        <f t="shared" si="10"/>
        <v>24</v>
      </c>
      <c r="F19" s="109">
        <f t="shared" si="11"/>
        <v>18</v>
      </c>
      <c r="G19" s="113"/>
      <c r="H19" s="113"/>
      <c r="I19" s="361">
        <v>120</v>
      </c>
      <c r="J19" s="361">
        <v>443</v>
      </c>
      <c r="K19" s="194">
        <f t="shared" si="14"/>
        <v>563</v>
      </c>
      <c r="L19" s="361">
        <v>232.21</v>
      </c>
      <c r="M19" s="109">
        <f t="shared" si="15"/>
        <v>352.21000000000004</v>
      </c>
      <c r="N19" s="361">
        <v>89</v>
      </c>
      <c r="O19" s="361">
        <v>355.87</v>
      </c>
      <c r="P19" s="183">
        <f t="shared" si="8"/>
        <v>0.98971534549133122</v>
      </c>
      <c r="Q19" s="361">
        <v>202</v>
      </c>
      <c r="R19" s="361">
        <v>1</v>
      </c>
      <c r="S19" s="192">
        <v>2395851</v>
      </c>
      <c r="T19" s="110">
        <f t="shared" si="12"/>
        <v>2395852</v>
      </c>
      <c r="U19" s="192">
        <v>2250617</v>
      </c>
      <c r="V19" s="192">
        <v>145235</v>
      </c>
      <c r="W19" s="185">
        <f t="shared" si="9"/>
        <v>6.0619353783121832E-2</v>
      </c>
    </row>
    <row r="20" spans="1:23" s="71" customFormat="1">
      <c r="A20" s="90">
        <v>2004</v>
      </c>
      <c r="B20" s="195">
        <v>12</v>
      </c>
      <c r="C20" s="195">
        <v>5</v>
      </c>
      <c r="D20" s="194">
        <f t="shared" si="13"/>
        <v>17</v>
      </c>
      <c r="E20" s="109">
        <f t="shared" si="10"/>
        <v>31</v>
      </c>
      <c r="F20" s="109">
        <f t="shared" si="11"/>
        <v>22</v>
      </c>
      <c r="G20" s="113"/>
      <c r="H20" s="113"/>
      <c r="I20" s="195">
        <v>134</v>
      </c>
      <c r="J20" s="195">
        <v>446</v>
      </c>
      <c r="K20" s="194">
        <f t="shared" si="14"/>
        <v>580</v>
      </c>
      <c r="L20" s="195">
        <v>231</v>
      </c>
      <c r="M20" s="109">
        <f t="shared" si="15"/>
        <v>365</v>
      </c>
      <c r="N20" s="195">
        <v>74</v>
      </c>
      <c r="O20" s="195">
        <v>371</v>
      </c>
      <c r="P20" s="183">
        <f t="shared" si="8"/>
        <v>0.98382749326145558</v>
      </c>
      <c r="Q20" s="195">
        <v>216</v>
      </c>
      <c r="R20" s="361">
        <v>1</v>
      </c>
      <c r="S20" s="192">
        <v>2171588</v>
      </c>
      <c r="T20" s="110">
        <f t="shared" si="12"/>
        <v>2171588</v>
      </c>
      <c r="U20" s="192">
        <v>2122569</v>
      </c>
      <c r="V20" s="192">
        <v>49019</v>
      </c>
      <c r="W20" s="185">
        <f t="shared" si="9"/>
        <v>2.257288214891591E-2</v>
      </c>
    </row>
    <row r="21" spans="1:23" s="71" customFormat="1">
      <c r="A21" s="90">
        <v>2003</v>
      </c>
      <c r="B21" s="195">
        <v>12</v>
      </c>
      <c r="C21" s="195">
        <v>5</v>
      </c>
      <c r="D21" s="194">
        <f t="shared" si="13"/>
        <v>17</v>
      </c>
      <c r="E21" s="109">
        <f t="shared" si="10"/>
        <v>30</v>
      </c>
      <c r="F21" s="109">
        <f t="shared" si="11"/>
        <v>21</v>
      </c>
      <c r="G21" s="113"/>
      <c r="H21" s="113"/>
      <c r="I21" s="195">
        <v>120</v>
      </c>
      <c r="J21" s="195">
        <v>440</v>
      </c>
      <c r="K21" s="194">
        <f t="shared" si="14"/>
        <v>560</v>
      </c>
      <c r="L21" s="195">
        <v>220</v>
      </c>
      <c r="M21" s="109">
        <f t="shared" si="15"/>
        <v>340</v>
      </c>
      <c r="N21" s="195">
        <v>66</v>
      </c>
      <c r="O21" s="195">
        <v>354</v>
      </c>
      <c r="P21" s="183">
        <f t="shared" si="8"/>
        <v>0.96045197740112997</v>
      </c>
      <c r="Q21" s="195">
        <v>180</v>
      </c>
      <c r="R21" s="361">
        <v>0</v>
      </c>
      <c r="S21" s="192">
        <v>1993251</v>
      </c>
      <c r="T21" s="110">
        <f t="shared" si="12"/>
        <v>1995214</v>
      </c>
      <c r="U21" s="192">
        <v>1935268</v>
      </c>
      <c r="V21" s="192">
        <v>59946</v>
      </c>
      <c r="W21" s="185">
        <f t="shared" si="9"/>
        <v>3.0044897439572896E-2</v>
      </c>
    </row>
    <row r="22" spans="1:23" s="71" customFormat="1">
      <c r="A22" s="90">
        <v>2002</v>
      </c>
      <c r="B22" s="195">
        <v>12</v>
      </c>
      <c r="C22" s="195">
        <v>4</v>
      </c>
      <c r="D22" s="194">
        <f t="shared" si="13"/>
        <v>16</v>
      </c>
      <c r="E22" s="109">
        <f t="shared" si="10"/>
        <v>28</v>
      </c>
      <c r="F22" s="109">
        <f t="shared" si="11"/>
        <v>21</v>
      </c>
      <c r="G22" s="113"/>
      <c r="H22" s="113"/>
      <c r="I22" s="195">
        <v>125</v>
      </c>
      <c r="J22" s="195">
        <v>412</v>
      </c>
      <c r="K22" s="194">
        <f t="shared" si="14"/>
        <v>537</v>
      </c>
      <c r="L22" s="195">
        <f>ROUND(202.96, 0)</f>
        <v>203</v>
      </c>
      <c r="M22" s="109">
        <f t="shared" si="15"/>
        <v>328</v>
      </c>
      <c r="N22" s="195">
        <v>63</v>
      </c>
      <c r="O22" s="195">
        <f>ROUND(332.92, 0)</f>
        <v>333</v>
      </c>
      <c r="P22" s="183">
        <f t="shared" si="8"/>
        <v>0.98498498498498499</v>
      </c>
      <c r="Q22" s="195">
        <v>168</v>
      </c>
      <c r="R22" s="361">
        <v>0</v>
      </c>
      <c r="S22" s="192">
        <v>1833546</v>
      </c>
      <c r="T22" s="110">
        <f t="shared" si="12"/>
        <v>1833546</v>
      </c>
      <c r="U22" s="192">
        <v>1776796</v>
      </c>
      <c r="V22" s="192">
        <v>56750</v>
      </c>
      <c r="W22" s="185">
        <f t="shared" si="9"/>
        <v>3.0950955143748779E-2</v>
      </c>
    </row>
    <row r="23" spans="1:23" s="14" customFormat="1">
      <c r="G23"/>
      <c r="H23"/>
    </row>
    <row r="24" spans="1:23" s="14" customFormat="1">
      <c r="G24"/>
      <c r="H24"/>
    </row>
    <row r="25" spans="1:23" s="14" customFormat="1">
      <c r="G25"/>
      <c r="H25"/>
    </row>
    <row r="26" spans="1:23" s="14" customFormat="1">
      <c r="G26"/>
      <c r="H26"/>
    </row>
    <row r="27" spans="1:23" s="14" customFormat="1">
      <c r="G27"/>
      <c r="H27"/>
    </row>
    <row r="28" spans="1:23" s="14" customFormat="1">
      <c r="G28"/>
      <c r="H28"/>
    </row>
    <row r="29" spans="1:23" s="14" customFormat="1">
      <c r="G29"/>
      <c r="H29"/>
    </row>
    <row r="30" spans="1:23" s="14" customFormat="1">
      <c r="G30"/>
      <c r="H30"/>
    </row>
    <row r="31" spans="1:23" s="14" customFormat="1">
      <c r="G31"/>
      <c r="H31"/>
    </row>
    <row r="32" spans="1:23" s="14" customFormat="1">
      <c r="G32"/>
      <c r="H32"/>
    </row>
  </sheetData>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HL31"/>
  <sheetViews>
    <sheetView zoomScaleNormal="100" workbookViewId="0">
      <selection activeCell="O33" sqref="O33"/>
    </sheetView>
  </sheetViews>
  <sheetFormatPr defaultColWidth="8.85546875" defaultRowHeight="15"/>
  <cols>
    <col min="1" max="1" width="9.42578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85546875" bestFit="1" customWidth="1"/>
    <col min="22" max="22" width="12.28515625" bestFit="1" customWidth="1"/>
    <col min="23" max="23" width="12.85546875" bestFit="1" customWidth="1"/>
  </cols>
  <sheetData>
    <row r="1" spans="1:220" s="8" customFormat="1" ht="18.75">
      <c r="A1" s="1" t="s">
        <v>24</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41</v>
      </c>
      <c r="C3" s="409">
        <v>9</v>
      </c>
      <c r="D3" s="410">
        <f t="shared" ref="D3" si="0">SUM(B3:C3)</f>
        <v>50</v>
      </c>
      <c r="E3" s="411">
        <f t="shared" ref="E3" si="1">ROUND((O3/B3), 0)</f>
        <v>6</v>
      </c>
      <c r="F3" s="411">
        <f t="shared" ref="F3" si="2">ROUND((O3/D3), 0)</f>
        <v>5</v>
      </c>
      <c r="G3" s="409">
        <v>15</v>
      </c>
      <c r="H3" s="409">
        <v>9</v>
      </c>
      <c r="I3" s="409">
        <v>133</v>
      </c>
      <c r="J3" s="409">
        <v>86</v>
      </c>
      <c r="K3" s="410">
        <f t="shared" ref="K3" si="3">SUM(I3:J3)</f>
        <v>219</v>
      </c>
      <c r="L3" s="409">
        <v>25.8</v>
      </c>
      <c r="M3" s="411">
        <f>(I3+L3)</f>
        <v>158.80000000000001</v>
      </c>
      <c r="N3" s="394" t="s">
        <v>79</v>
      </c>
      <c r="O3" s="409">
        <v>260</v>
      </c>
      <c r="P3" s="413">
        <f>M3/O3</f>
        <v>0.61076923076923084</v>
      </c>
      <c r="Q3" s="409">
        <v>113</v>
      </c>
      <c r="R3" s="409">
        <v>47</v>
      </c>
      <c r="S3" s="414">
        <v>11094377</v>
      </c>
      <c r="T3" s="415">
        <f t="shared" ref="T3" si="4">SUM(U3:V3)</f>
        <v>11094377</v>
      </c>
      <c r="U3" s="536">
        <v>9740220</v>
      </c>
      <c r="V3" s="643">
        <v>1354157</v>
      </c>
      <c r="W3" s="335">
        <f t="shared" ref="W3" si="5">V3/T3</f>
        <v>0.12205795782854684</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42</v>
      </c>
      <c r="C4" s="409">
        <v>10.5</v>
      </c>
      <c r="D4" s="410">
        <f t="shared" ref="D4" si="6">SUM(B4:C4)</f>
        <v>52.5</v>
      </c>
      <c r="E4" s="411">
        <f t="shared" ref="E4" si="7">ROUND((O4/B4), 0)</f>
        <v>6</v>
      </c>
      <c r="F4" s="411">
        <f t="shared" ref="F4" si="8">ROUND((O4/D4), 0)</f>
        <v>5</v>
      </c>
      <c r="G4" s="409">
        <v>15</v>
      </c>
      <c r="H4" s="409">
        <v>10.5</v>
      </c>
      <c r="I4" s="409">
        <v>138</v>
      </c>
      <c r="J4" s="409">
        <v>81</v>
      </c>
      <c r="K4" s="410">
        <v>219</v>
      </c>
      <c r="L4" s="409">
        <v>27</v>
      </c>
      <c r="M4" s="411">
        <f>(I4+L4)</f>
        <v>165</v>
      </c>
      <c r="N4" s="394" t="s">
        <v>79</v>
      </c>
      <c r="O4" s="409">
        <v>260.3</v>
      </c>
      <c r="P4" s="413">
        <f>M4/O4</f>
        <v>0.63388398002305035</v>
      </c>
      <c r="Q4" s="409">
        <v>121</v>
      </c>
      <c r="R4" s="409">
        <v>43</v>
      </c>
      <c r="S4" s="414">
        <v>10638972</v>
      </c>
      <c r="T4" s="415">
        <f>SUM(U4:V4)</f>
        <v>10638972</v>
      </c>
      <c r="U4" s="536">
        <v>10454154</v>
      </c>
      <c r="V4" s="602">
        <v>184818</v>
      </c>
      <c r="W4" s="335">
        <f t="shared" ref="W4" si="9">V4/T4</f>
        <v>1.7371791184336231E-2</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40</v>
      </c>
      <c r="C5" s="409">
        <v>10.5</v>
      </c>
      <c r="D5" s="410">
        <f t="shared" ref="D5" si="10">SUM(B5:C5)</f>
        <v>50.5</v>
      </c>
      <c r="E5" s="411">
        <f t="shared" ref="E5" si="11">ROUND((O5/B5), 0)</f>
        <v>6</v>
      </c>
      <c r="F5" s="411">
        <f t="shared" ref="F5" si="12">ROUND((O5/D5), 0)</f>
        <v>5</v>
      </c>
      <c r="G5" s="409">
        <v>15</v>
      </c>
      <c r="H5" s="409">
        <v>10.5</v>
      </c>
      <c r="I5" s="409">
        <v>148</v>
      </c>
      <c r="J5" s="409">
        <v>74</v>
      </c>
      <c r="K5" s="410">
        <f t="shared" ref="K5" si="13">SUM(I5:J5)</f>
        <v>222</v>
      </c>
      <c r="L5" s="409">
        <v>22.2</v>
      </c>
      <c r="M5" s="411">
        <f>(I5+L5)</f>
        <v>170.2</v>
      </c>
      <c r="N5" s="394" t="s">
        <v>79</v>
      </c>
      <c r="O5" s="409">
        <v>257.3</v>
      </c>
      <c r="P5" s="413">
        <f t="shared" ref="P5" si="14">M5/O5</f>
        <v>0.66148464827050124</v>
      </c>
      <c r="Q5" s="409">
        <v>125</v>
      </c>
      <c r="R5" s="409">
        <v>65</v>
      </c>
      <c r="S5" s="414">
        <v>10461436</v>
      </c>
      <c r="T5" s="415">
        <f>SUM(U5:V5)</f>
        <v>10461436</v>
      </c>
      <c r="U5" s="414">
        <v>10216814</v>
      </c>
      <c r="V5" s="414">
        <v>244622</v>
      </c>
      <c r="W5" s="335">
        <f t="shared" ref="W5" si="15">V5/T5</f>
        <v>2.3383214312069585E-2</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38</v>
      </c>
      <c r="C6" s="20">
        <v>6.75</v>
      </c>
      <c r="D6" s="29">
        <f>SUM(B6:C6)</f>
        <v>44.75</v>
      </c>
      <c r="E6" s="172">
        <f>ROUND((O6/B6), 0)</f>
        <v>7</v>
      </c>
      <c r="F6" s="172">
        <f>ROUND((O6/D6), 0)</f>
        <v>6</v>
      </c>
      <c r="G6" s="20">
        <v>15</v>
      </c>
      <c r="H6" s="20">
        <v>6.75</v>
      </c>
      <c r="I6" s="20">
        <v>147</v>
      </c>
      <c r="J6" s="20">
        <v>72</v>
      </c>
      <c r="K6" s="29">
        <f t="shared" ref="K6" si="16">SUM(I6:J6)</f>
        <v>219</v>
      </c>
      <c r="L6" s="20">
        <v>21.6</v>
      </c>
      <c r="M6" s="172">
        <f>(I6+L6)</f>
        <v>168.6</v>
      </c>
      <c r="N6" s="394" t="s">
        <v>79</v>
      </c>
      <c r="O6" s="20">
        <v>277</v>
      </c>
      <c r="P6" s="183">
        <f>M6/O6</f>
        <v>0.60866425992779782</v>
      </c>
      <c r="Q6" s="20">
        <v>115</v>
      </c>
      <c r="R6" s="20">
        <v>39</v>
      </c>
      <c r="S6" s="24">
        <v>9480876</v>
      </c>
      <c r="T6" s="30">
        <f>SUM(U6:V6)</f>
        <v>9480876</v>
      </c>
      <c r="U6" s="24">
        <v>9386878</v>
      </c>
      <c r="V6" s="24">
        <v>93998</v>
      </c>
      <c r="W6" s="185">
        <f>V6/T6</f>
        <v>9.9144846952960893E-3</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38</v>
      </c>
      <c r="C7" s="20">
        <v>8.75</v>
      </c>
      <c r="D7" s="34">
        <f>SUM(B7:C7)</f>
        <v>46.75</v>
      </c>
      <c r="E7" s="34">
        <f>ROUND((O7/B7), 0)</f>
        <v>7</v>
      </c>
      <c r="F7" s="34">
        <f>ROUND((O7/D7), 0)</f>
        <v>5</v>
      </c>
      <c r="G7" s="20">
        <v>15</v>
      </c>
      <c r="H7" s="20">
        <v>8.75</v>
      </c>
      <c r="I7" s="20">
        <v>154</v>
      </c>
      <c r="J7" s="20">
        <v>54</v>
      </c>
      <c r="K7" s="34">
        <f>SUM(I7:J7)</f>
        <v>208</v>
      </c>
      <c r="L7" s="20">
        <v>16.2</v>
      </c>
      <c r="M7" s="36">
        <f>(I7+L7)</f>
        <v>170.2</v>
      </c>
      <c r="N7" s="351" t="s">
        <v>79</v>
      </c>
      <c r="O7" s="344">
        <v>256.89999999999998</v>
      </c>
      <c r="P7" s="183">
        <f t="shared" ref="P7:P22" si="17">M7/O7</f>
        <v>0.66251459711950178</v>
      </c>
      <c r="Q7" s="20">
        <v>119</v>
      </c>
      <c r="R7" s="20">
        <v>45</v>
      </c>
      <c r="S7" s="300">
        <v>9326733</v>
      </c>
      <c r="T7" s="35">
        <f>SUM(U7:V7)</f>
        <v>9326733</v>
      </c>
      <c r="U7" s="341">
        <v>9238589</v>
      </c>
      <c r="V7" s="24">
        <v>88144</v>
      </c>
      <c r="W7" s="185">
        <f t="shared" ref="W7:W22" si="18">V7/T7</f>
        <v>9.4506833207297775E-3</v>
      </c>
    </row>
    <row r="8" spans="1:220" s="65" customFormat="1">
      <c r="A8" s="95">
        <v>2016</v>
      </c>
      <c r="B8" s="63">
        <v>39</v>
      </c>
      <c r="C8" s="63">
        <v>8.25</v>
      </c>
      <c r="D8" s="81">
        <f>B8+C8</f>
        <v>47.25</v>
      </c>
      <c r="E8" s="82">
        <f>ROUND((O8/B8), 0)</f>
        <v>6</v>
      </c>
      <c r="F8" s="82">
        <f>ROUND((O8/D8), 0)</f>
        <v>5</v>
      </c>
      <c r="G8" s="63">
        <v>15</v>
      </c>
      <c r="H8" s="63">
        <v>8.25</v>
      </c>
      <c r="I8" s="63">
        <v>140</v>
      </c>
      <c r="J8" s="63">
        <v>65</v>
      </c>
      <c r="K8" s="81">
        <f>I8+J8</f>
        <v>205</v>
      </c>
      <c r="L8" s="63">
        <v>19.5</v>
      </c>
      <c r="M8" s="82">
        <f>I8+L8</f>
        <v>159.5</v>
      </c>
      <c r="N8" s="81" t="s">
        <v>79</v>
      </c>
      <c r="O8" s="63">
        <v>241.9</v>
      </c>
      <c r="P8" s="183">
        <f t="shared" si="17"/>
        <v>0.65936337329474992</v>
      </c>
      <c r="Q8" s="63">
        <v>118</v>
      </c>
      <c r="R8" s="63">
        <v>49</v>
      </c>
      <c r="S8" s="64">
        <v>9373384</v>
      </c>
      <c r="T8" s="85">
        <f>SUM(U8:V8)</f>
        <v>9373384</v>
      </c>
      <c r="U8" s="64">
        <v>9283849</v>
      </c>
      <c r="V8" s="64">
        <v>89535</v>
      </c>
      <c r="W8" s="185">
        <f t="shared" si="18"/>
        <v>9.5520465180984789E-3</v>
      </c>
    </row>
    <row r="9" spans="1:220" s="105" customFormat="1">
      <c r="A9" s="267">
        <v>2015</v>
      </c>
      <c r="B9" s="91">
        <v>41</v>
      </c>
      <c r="C9" s="91">
        <v>7.75</v>
      </c>
      <c r="D9" s="81">
        <f>B9+C9</f>
        <v>48.75</v>
      </c>
      <c r="E9" s="81">
        <v>18.7</v>
      </c>
      <c r="F9" s="81">
        <v>11.7</v>
      </c>
      <c r="G9" s="111"/>
      <c r="H9" s="111"/>
      <c r="I9" s="91">
        <v>130</v>
      </c>
      <c r="J9" s="91">
        <v>65</v>
      </c>
      <c r="K9" s="81">
        <v>195</v>
      </c>
      <c r="L9" s="91">
        <v>20</v>
      </c>
      <c r="M9" s="81">
        <v>149.5</v>
      </c>
      <c r="N9" s="81" t="s">
        <v>79</v>
      </c>
      <c r="O9" s="91">
        <v>242.9</v>
      </c>
      <c r="P9" s="183">
        <f t="shared" si="17"/>
        <v>0.61547962124331002</v>
      </c>
      <c r="Q9" s="91">
        <v>129</v>
      </c>
      <c r="R9" s="91">
        <v>38</v>
      </c>
      <c r="S9" s="102">
        <v>9886254</v>
      </c>
      <c r="T9" s="103">
        <v>9870254</v>
      </c>
      <c r="U9" s="102">
        <v>8705933</v>
      </c>
      <c r="V9" s="102">
        <v>1164321</v>
      </c>
      <c r="W9" s="185">
        <f t="shared" si="18"/>
        <v>0.11796261778065691</v>
      </c>
    </row>
    <row r="10" spans="1:220" s="105" customFormat="1">
      <c r="A10" s="90">
        <v>2014</v>
      </c>
      <c r="B10" s="91">
        <v>39</v>
      </c>
      <c r="C10" s="91">
        <v>8.75</v>
      </c>
      <c r="D10" s="81">
        <f>B10+C10</f>
        <v>47.75</v>
      </c>
      <c r="E10" s="82">
        <f t="shared" ref="E10:E22" si="19">ROUND((O10/B10), 0)</f>
        <v>6</v>
      </c>
      <c r="F10" s="82">
        <f t="shared" ref="F10:F22" si="20">ROUND((O10/D10), 0)</f>
        <v>5</v>
      </c>
      <c r="G10" s="111"/>
      <c r="H10" s="111"/>
      <c r="I10" s="91">
        <v>134</v>
      </c>
      <c r="J10" s="91">
        <v>64</v>
      </c>
      <c r="K10" s="81">
        <f>I10+J10</f>
        <v>198</v>
      </c>
      <c r="L10" s="91">
        <v>19.2</v>
      </c>
      <c r="M10" s="82">
        <f>I10+L10</f>
        <v>153.19999999999999</v>
      </c>
      <c r="N10" s="81" t="s">
        <v>79</v>
      </c>
      <c r="O10" s="91">
        <v>248</v>
      </c>
      <c r="P10" s="183">
        <f t="shared" si="17"/>
        <v>0.61774193548387091</v>
      </c>
      <c r="Q10" s="91">
        <v>166</v>
      </c>
      <c r="R10" s="91">
        <v>48</v>
      </c>
      <c r="S10" s="92">
        <v>10402622</v>
      </c>
      <c r="T10" s="85">
        <f t="shared" ref="T10:T22" si="21">SUM(U10:V10)</f>
        <v>10402622</v>
      </c>
      <c r="U10" s="92">
        <v>9265532</v>
      </c>
      <c r="V10" s="92">
        <v>1137090</v>
      </c>
      <c r="W10" s="185">
        <f t="shared" si="18"/>
        <v>0.10930801868990338</v>
      </c>
    </row>
    <row r="11" spans="1:220" s="71" customFormat="1">
      <c r="A11" s="90">
        <v>2013</v>
      </c>
      <c r="B11" s="353">
        <v>45</v>
      </c>
      <c r="C11" s="353">
        <v>13.75</v>
      </c>
      <c r="D11" s="108">
        <f>B11+C11</f>
        <v>58.75</v>
      </c>
      <c r="E11" s="109">
        <f t="shared" si="19"/>
        <v>6</v>
      </c>
      <c r="F11" s="109">
        <f t="shared" si="20"/>
        <v>5</v>
      </c>
      <c r="G11" s="113"/>
      <c r="H11" s="113"/>
      <c r="I11" s="353">
        <v>173</v>
      </c>
      <c r="J11" s="353">
        <v>82</v>
      </c>
      <c r="K11" s="108">
        <f>I11+J11</f>
        <v>255</v>
      </c>
      <c r="L11" s="353">
        <v>24.6</v>
      </c>
      <c r="M11" s="109">
        <f>I11+L11</f>
        <v>197.6</v>
      </c>
      <c r="N11" s="81" t="s">
        <v>79</v>
      </c>
      <c r="O11" s="353">
        <v>291.39999999999998</v>
      </c>
      <c r="P11" s="183">
        <f t="shared" si="17"/>
        <v>0.67810569663692521</v>
      </c>
      <c r="Q11" s="353">
        <v>186</v>
      </c>
      <c r="R11" s="353">
        <v>47</v>
      </c>
      <c r="S11" s="112">
        <v>10387091</v>
      </c>
      <c r="T11" s="110">
        <f t="shared" si="21"/>
        <v>10446900</v>
      </c>
      <c r="U11" s="112">
        <v>9449263</v>
      </c>
      <c r="V11" s="112">
        <v>997637</v>
      </c>
      <c r="W11" s="185">
        <f t="shared" si="18"/>
        <v>9.549598445471863E-2</v>
      </c>
    </row>
    <row r="12" spans="1:220" s="71" customFormat="1">
      <c r="A12" s="90">
        <v>2012</v>
      </c>
      <c r="B12" s="353">
        <v>46</v>
      </c>
      <c r="C12" s="353">
        <v>11</v>
      </c>
      <c r="D12" s="108">
        <f>B12+C12</f>
        <v>57</v>
      </c>
      <c r="E12" s="109">
        <f t="shared" si="19"/>
        <v>7</v>
      </c>
      <c r="F12" s="109">
        <f t="shared" si="20"/>
        <v>6</v>
      </c>
      <c r="G12" s="113"/>
      <c r="H12" s="113"/>
      <c r="I12" s="353">
        <v>205</v>
      </c>
      <c r="J12" s="353">
        <v>86</v>
      </c>
      <c r="K12" s="108">
        <f>I12+J12</f>
        <v>291</v>
      </c>
      <c r="L12" s="353">
        <v>25.799999999999997</v>
      </c>
      <c r="M12" s="109">
        <f>I12+L12</f>
        <v>230.8</v>
      </c>
      <c r="N12" s="81" t="s">
        <v>79</v>
      </c>
      <c r="O12" s="353">
        <v>330.90000000000003</v>
      </c>
      <c r="P12" s="183">
        <f t="shared" si="17"/>
        <v>0.69749168933212446</v>
      </c>
      <c r="Q12" s="353">
        <v>173</v>
      </c>
      <c r="R12" s="353">
        <v>60</v>
      </c>
      <c r="S12" s="112">
        <v>9386296</v>
      </c>
      <c r="T12" s="110">
        <f t="shared" si="21"/>
        <v>10236651</v>
      </c>
      <c r="U12" s="112">
        <v>9247817</v>
      </c>
      <c r="V12" s="112">
        <v>988834</v>
      </c>
      <c r="W12" s="185">
        <f t="shared" si="18"/>
        <v>9.6597412571748323E-2</v>
      </c>
    </row>
    <row r="13" spans="1:220" s="71" customFormat="1">
      <c r="A13" s="90" t="s">
        <v>81</v>
      </c>
      <c r="B13" s="353">
        <v>48</v>
      </c>
      <c r="C13" s="353">
        <v>9</v>
      </c>
      <c r="D13" s="108">
        <f t="shared" ref="D13:D22" si="22">SUM(B13:C13)</f>
        <v>57</v>
      </c>
      <c r="E13" s="109">
        <f t="shared" si="19"/>
        <v>7</v>
      </c>
      <c r="F13" s="109">
        <f t="shared" si="20"/>
        <v>6</v>
      </c>
      <c r="G13" s="113"/>
      <c r="H13" s="113"/>
      <c r="I13" s="353">
        <v>188</v>
      </c>
      <c r="J13" s="353">
        <v>90</v>
      </c>
      <c r="K13" s="108">
        <f t="shared" ref="K13:K22" si="23">SUM(I13:J13)</f>
        <v>278</v>
      </c>
      <c r="L13" s="353">
        <v>27</v>
      </c>
      <c r="M13" s="109">
        <f t="shared" ref="M13:M22" si="24">(I13+L13)</f>
        <v>215</v>
      </c>
      <c r="N13" s="81" t="s">
        <v>79</v>
      </c>
      <c r="O13" s="353">
        <v>314.8</v>
      </c>
      <c r="P13" s="183">
        <f t="shared" si="17"/>
        <v>0.68297331639135961</v>
      </c>
      <c r="Q13" s="353">
        <v>185</v>
      </c>
      <c r="R13" s="353">
        <v>37</v>
      </c>
      <c r="S13" s="112">
        <v>9582852</v>
      </c>
      <c r="T13" s="110">
        <f t="shared" si="21"/>
        <v>9644324</v>
      </c>
      <c r="U13" s="112">
        <v>8737638</v>
      </c>
      <c r="V13" s="112">
        <v>906686</v>
      </c>
      <c r="W13" s="185">
        <f t="shared" si="18"/>
        <v>9.4012395270005447E-2</v>
      </c>
    </row>
    <row r="14" spans="1:220" s="71" customFormat="1">
      <c r="A14" s="90" t="s">
        <v>82</v>
      </c>
      <c r="B14" s="353">
        <v>50</v>
      </c>
      <c r="C14" s="353">
        <v>10.75</v>
      </c>
      <c r="D14" s="108">
        <f t="shared" si="22"/>
        <v>60.75</v>
      </c>
      <c r="E14" s="109">
        <f t="shared" si="19"/>
        <v>6</v>
      </c>
      <c r="F14" s="109">
        <f t="shared" si="20"/>
        <v>5</v>
      </c>
      <c r="G14" s="113"/>
      <c r="H14" s="113"/>
      <c r="I14" s="353">
        <v>202</v>
      </c>
      <c r="J14" s="353">
        <v>86</v>
      </c>
      <c r="K14" s="108">
        <f t="shared" si="23"/>
        <v>288</v>
      </c>
      <c r="L14" s="353">
        <v>25.8</v>
      </c>
      <c r="M14" s="109">
        <f t="shared" si="24"/>
        <v>227.8</v>
      </c>
      <c r="N14" s="81" t="s">
        <v>79</v>
      </c>
      <c r="O14" s="353">
        <v>300.7</v>
      </c>
      <c r="P14" s="183">
        <f t="shared" si="17"/>
        <v>0.75756568007981384</v>
      </c>
      <c r="Q14" s="353">
        <v>170</v>
      </c>
      <c r="R14" s="353">
        <v>45</v>
      </c>
      <c r="S14" s="112">
        <v>9209127.1899999995</v>
      </c>
      <c r="T14" s="110">
        <f t="shared" si="21"/>
        <v>9209127</v>
      </c>
      <c r="U14" s="112">
        <v>8372656</v>
      </c>
      <c r="V14" s="112">
        <v>836471</v>
      </c>
      <c r="W14" s="185">
        <f t="shared" si="18"/>
        <v>9.0830650940094543E-2</v>
      </c>
    </row>
    <row r="15" spans="1:220" s="71" customFormat="1">
      <c r="A15" s="90" t="s">
        <v>83</v>
      </c>
      <c r="B15" s="353">
        <v>49</v>
      </c>
      <c r="C15" s="353">
        <v>10.5</v>
      </c>
      <c r="D15" s="108">
        <f t="shared" si="22"/>
        <v>59.5</v>
      </c>
      <c r="E15" s="109">
        <f t="shared" si="19"/>
        <v>6</v>
      </c>
      <c r="F15" s="109">
        <f t="shared" si="20"/>
        <v>5</v>
      </c>
      <c r="G15" s="113"/>
      <c r="H15" s="113"/>
      <c r="I15" s="353">
        <v>198</v>
      </c>
      <c r="J15" s="353">
        <v>80</v>
      </c>
      <c r="K15" s="108">
        <f t="shared" si="23"/>
        <v>278</v>
      </c>
      <c r="L15" s="353">
        <v>24</v>
      </c>
      <c r="M15" s="109">
        <f t="shared" si="24"/>
        <v>222</v>
      </c>
      <c r="N15" s="81" t="s">
        <v>79</v>
      </c>
      <c r="O15" s="353">
        <v>294.5</v>
      </c>
      <c r="P15" s="183">
        <f t="shared" si="17"/>
        <v>0.75382003395585739</v>
      </c>
      <c r="Q15" s="353">
        <v>204</v>
      </c>
      <c r="R15" s="353">
        <v>50</v>
      </c>
      <c r="S15" s="112">
        <v>8688962.8499999996</v>
      </c>
      <c r="T15" s="110">
        <f t="shared" si="21"/>
        <v>8688963</v>
      </c>
      <c r="U15" s="112">
        <v>8154824</v>
      </c>
      <c r="V15" s="112">
        <v>534139</v>
      </c>
      <c r="W15" s="185">
        <f t="shared" si="18"/>
        <v>6.1473273623100941E-2</v>
      </c>
    </row>
    <row r="16" spans="1:220" s="71" customFormat="1">
      <c r="A16" s="90" t="s">
        <v>84</v>
      </c>
      <c r="B16" s="353">
        <v>49</v>
      </c>
      <c r="C16" s="353">
        <v>10</v>
      </c>
      <c r="D16" s="108">
        <f t="shared" si="22"/>
        <v>59</v>
      </c>
      <c r="E16" s="109">
        <f t="shared" si="19"/>
        <v>6</v>
      </c>
      <c r="F16" s="109">
        <f t="shared" si="20"/>
        <v>5</v>
      </c>
      <c r="G16" s="113"/>
      <c r="H16" s="113"/>
      <c r="I16" s="353">
        <v>207</v>
      </c>
      <c r="J16" s="353">
        <v>92</v>
      </c>
      <c r="K16" s="108">
        <f t="shared" si="23"/>
        <v>299</v>
      </c>
      <c r="L16" s="353">
        <v>27.6</v>
      </c>
      <c r="M16" s="109">
        <f t="shared" si="24"/>
        <v>234.6</v>
      </c>
      <c r="N16" s="81" t="s">
        <v>79</v>
      </c>
      <c r="O16" s="353">
        <v>317</v>
      </c>
      <c r="P16" s="183">
        <f t="shared" si="17"/>
        <v>0.74006309148264982</v>
      </c>
      <c r="Q16" s="353">
        <v>165</v>
      </c>
      <c r="R16" s="353">
        <v>46</v>
      </c>
      <c r="S16" s="112">
        <v>8401482.6600000001</v>
      </c>
      <c r="T16" s="110">
        <f t="shared" si="21"/>
        <v>8401483</v>
      </c>
      <c r="U16" s="112">
        <v>7714953</v>
      </c>
      <c r="V16" s="112">
        <v>686530</v>
      </c>
      <c r="W16" s="185">
        <f t="shared" si="18"/>
        <v>8.1715335256882626E-2</v>
      </c>
    </row>
    <row r="17" spans="1:23" s="71" customFormat="1">
      <c r="A17" s="90">
        <v>2007</v>
      </c>
      <c r="B17" s="353">
        <v>49</v>
      </c>
      <c r="C17" s="353">
        <v>10</v>
      </c>
      <c r="D17" s="194">
        <f t="shared" si="22"/>
        <v>59</v>
      </c>
      <c r="E17" s="109">
        <f t="shared" si="19"/>
        <v>6</v>
      </c>
      <c r="F17" s="109">
        <f t="shared" si="20"/>
        <v>5</v>
      </c>
      <c r="G17" s="113"/>
      <c r="H17" s="113"/>
      <c r="I17" s="353">
        <v>196</v>
      </c>
      <c r="J17" s="353">
        <v>79</v>
      </c>
      <c r="K17" s="194">
        <f t="shared" si="23"/>
        <v>275</v>
      </c>
      <c r="L17" s="353">
        <v>26.4</v>
      </c>
      <c r="M17" s="109">
        <f t="shared" si="24"/>
        <v>222.4</v>
      </c>
      <c r="N17" s="81" t="s">
        <v>79</v>
      </c>
      <c r="O17" s="353">
        <v>305</v>
      </c>
      <c r="P17" s="183">
        <f t="shared" si="17"/>
        <v>0.72918032786885245</v>
      </c>
      <c r="Q17" s="353">
        <v>129</v>
      </c>
      <c r="R17" s="353">
        <v>50</v>
      </c>
      <c r="S17" s="250">
        <v>7038970</v>
      </c>
      <c r="T17" s="110">
        <f t="shared" si="21"/>
        <v>7038970</v>
      </c>
      <c r="U17" s="250">
        <v>6492931</v>
      </c>
      <c r="V17" s="250">
        <v>546039</v>
      </c>
      <c r="W17" s="185">
        <f t="shared" si="18"/>
        <v>7.7573707516866819E-2</v>
      </c>
    </row>
    <row r="18" spans="1:23" s="71" customFormat="1">
      <c r="A18" s="90">
        <v>2006</v>
      </c>
      <c r="B18" s="353">
        <v>43</v>
      </c>
      <c r="C18" s="353">
        <v>8</v>
      </c>
      <c r="D18" s="194">
        <f t="shared" si="22"/>
        <v>51</v>
      </c>
      <c r="E18" s="109">
        <f t="shared" si="19"/>
        <v>6</v>
      </c>
      <c r="F18" s="109">
        <f t="shared" si="20"/>
        <v>5</v>
      </c>
      <c r="G18" s="113"/>
      <c r="H18" s="113"/>
      <c r="I18" s="353">
        <v>154</v>
      </c>
      <c r="J18" s="353">
        <v>66</v>
      </c>
      <c r="K18" s="194">
        <f t="shared" si="23"/>
        <v>220</v>
      </c>
      <c r="L18" s="353">
        <v>22</v>
      </c>
      <c r="M18" s="109">
        <f t="shared" si="24"/>
        <v>176</v>
      </c>
      <c r="N18" s="81" t="s">
        <v>79</v>
      </c>
      <c r="O18" s="353">
        <v>252</v>
      </c>
      <c r="P18" s="183">
        <f t="shared" si="17"/>
        <v>0.69841269841269837</v>
      </c>
      <c r="Q18" s="353">
        <v>160</v>
      </c>
      <c r="R18" s="353">
        <v>55</v>
      </c>
      <c r="S18" s="192">
        <v>5841249.6100000003</v>
      </c>
      <c r="T18" s="110">
        <f t="shared" si="21"/>
        <v>5841249.6099999994</v>
      </c>
      <c r="U18" s="192">
        <v>5241435.67</v>
      </c>
      <c r="V18" s="192">
        <v>599813.93999999994</v>
      </c>
      <c r="W18" s="185">
        <f t="shared" si="18"/>
        <v>0.10268589429445732</v>
      </c>
    </row>
    <row r="19" spans="1:23" s="71" customFormat="1">
      <c r="A19" s="90">
        <v>2005</v>
      </c>
      <c r="B19" s="353">
        <v>40</v>
      </c>
      <c r="C19" s="353">
        <v>3.75</v>
      </c>
      <c r="D19" s="194">
        <f t="shared" si="22"/>
        <v>43.75</v>
      </c>
      <c r="E19" s="109">
        <f t="shared" si="19"/>
        <v>7</v>
      </c>
      <c r="F19" s="109">
        <f t="shared" si="20"/>
        <v>6</v>
      </c>
      <c r="G19" s="113"/>
      <c r="H19" s="113"/>
      <c r="I19" s="353">
        <v>168</v>
      </c>
      <c r="J19" s="353">
        <v>64</v>
      </c>
      <c r="K19" s="194">
        <f t="shared" si="23"/>
        <v>232</v>
      </c>
      <c r="L19" s="353">
        <v>21.4</v>
      </c>
      <c r="M19" s="109">
        <f t="shared" si="24"/>
        <v>189.4</v>
      </c>
      <c r="N19" s="81" t="s">
        <v>79</v>
      </c>
      <c r="O19" s="353">
        <v>278.7</v>
      </c>
      <c r="P19" s="183">
        <f t="shared" si="17"/>
        <v>0.67958378184427704</v>
      </c>
      <c r="Q19" s="353">
        <v>112</v>
      </c>
      <c r="R19" s="353">
        <v>49</v>
      </c>
      <c r="S19" s="192">
        <v>5728373</v>
      </c>
      <c r="T19" s="110">
        <f t="shared" si="21"/>
        <v>5728373</v>
      </c>
      <c r="U19" s="192">
        <v>5333181</v>
      </c>
      <c r="V19" s="192">
        <v>395192</v>
      </c>
      <c r="W19" s="185">
        <f t="shared" si="18"/>
        <v>6.8988524315717573E-2</v>
      </c>
    </row>
    <row r="20" spans="1:23" s="71" customFormat="1">
      <c r="A20" s="90">
        <v>2004</v>
      </c>
      <c r="B20" s="195">
        <v>40</v>
      </c>
      <c r="C20" s="195">
        <v>4</v>
      </c>
      <c r="D20" s="194">
        <f t="shared" si="22"/>
        <v>44</v>
      </c>
      <c r="E20" s="109">
        <f t="shared" si="19"/>
        <v>25</v>
      </c>
      <c r="F20" s="109">
        <f t="shared" si="20"/>
        <v>23</v>
      </c>
      <c r="G20" s="113"/>
      <c r="H20" s="113"/>
      <c r="I20" s="195">
        <v>134</v>
      </c>
      <c r="J20" s="195">
        <v>62</v>
      </c>
      <c r="K20" s="194">
        <f t="shared" si="23"/>
        <v>196</v>
      </c>
      <c r="L20" s="195">
        <v>21</v>
      </c>
      <c r="M20" s="109">
        <f t="shared" si="24"/>
        <v>155</v>
      </c>
      <c r="N20" s="81" t="s">
        <v>79</v>
      </c>
      <c r="O20" s="195">
        <v>1000</v>
      </c>
      <c r="P20" s="183">
        <f t="shared" si="17"/>
        <v>0.155</v>
      </c>
      <c r="Q20" s="195">
        <v>115</v>
      </c>
      <c r="R20" s="353">
        <v>39</v>
      </c>
      <c r="S20" s="192">
        <v>5553950</v>
      </c>
      <c r="T20" s="110">
        <f t="shared" si="21"/>
        <v>5553950</v>
      </c>
      <c r="U20" s="192">
        <v>5174920</v>
      </c>
      <c r="V20" s="192">
        <v>379030</v>
      </c>
      <c r="W20" s="185">
        <f t="shared" si="18"/>
        <v>6.824512284050091E-2</v>
      </c>
    </row>
    <row r="21" spans="1:23" s="71" customFormat="1">
      <c r="A21" s="90">
        <v>2003</v>
      </c>
      <c r="B21" s="195">
        <v>38</v>
      </c>
      <c r="C21" s="195">
        <v>4</v>
      </c>
      <c r="D21" s="194">
        <f t="shared" si="22"/>
        <v>42</v>
      </c>
      <c r="E21" s="109">
        <f t="shared" si="19"/>
        <v>5</v>
      </c>
      <c r="F21" s="109">
        <f t="shared" si="20"/>
        <v>5</v>
      </c>
      <c r="G21" s="113"/>
      <c r="H21" s="113"/>
      <c r="I21" s="195">
        <v>116</v>
      </c>
      <c r="J21" s="195">
        <v>54</v>
      </c>
      <c r="K21" s="194">
        <f t="shared" si="23"/>
        <v>170</v>
      </c>
      <c r="L21" s="195">
        <v>18</v>
      </c>
      <c r="M21" s="109">
        <f t="shared" si="24"/>
        <v>134</v>
      </c>
      <c r="N21" s="81" t="s">
        <v>79</v>
      </c>
      <c r="O21" s="195">
        <v>206</v>
      </c>
      <c r="P21" s="183">
        <f t="shared" si="17"/>
        <v>0.65048543689320393</v>
      </c>
      <c r="Q21" s="195">
        <v>90</v>
      </c>
      <c r="R21" s="353">
        <v>37</v>
      </c>
      <c r="S21" s="192">
        <v>4512948</v>
      </c>
      <c r="T21" s="110">
        <f t="shared" si="21"/>
        <v>4512948</v>
      </c>
      <c r="U21" s="192">
        <v>4377301</v>
      </c>
      <c r="V21" s="192">
        <v>135647</v>
      </c>
      <c r="W21" s="185">
        <f t="shared" si="18"/>
        <v>3.0057292926929359E-2</v>
      </c>
    </row>
    <row r="22" spans="1:23" s="71" customFormat="1">
      <c r="A22" s="90">
        <v>2002</v>
      </c>
      <c r="B22" s="195">
        <v>33</v>
      </c>
      <c r="C22" s="195">
        <v>2</v>
      </c>
      <c r="D22" s="194">
        <f t="shared" si="22"/>
        <v>35</v>
      </c>
      <c r="E22" s="109">
        <f t="shared" si="19"/>
        <v>6</v>
      </c>
      <c r="F22" s="109">
        <f t="shared" si="20"/>
        <v>5</v>
      </c>
      <c r="G22" s="113"/>
      <c r="H22" s="113"/>
      <c r="I22" s="195">
        <v>120</v>
      </c>
      <c r="J22" s="195">
        <v>43</v>
      </c>
      <c r="K22" s="194">
        <f t="shared" si="23"/>
        <v>163</v>
      </c>
      <c r="L22" s="195">
        <f>ROUND(14.4, 0)</f>
        <v>14</v>
      </c>
      <c r="M22" s="109">
        <f t="shared" si="24"/>
        <v>134</v>
      </c>
      <c r="N22" s="81" t="s">
        <v>79</v>
      </c>
      <c r="O22" s="195">
        <f>ROUND(191.4, 0)</f>
        <v>191</v>
      </c>
      <c r="P22" s="183">
        <f t="shared" si="17"/>
        <v>0.70157068062827221</v>
      </c>
      <c r="Q22" s="195">
        <v>99</v>
      </c>
      <c r="R22" s="353">
        <v>41</v>
      </c>
      <c r="S22" s="192">
        <v>4258580</v>
      </c>
      <c r="T22" s="110">
        <f t="shared" si="21"/>
        <v>4258580</v>
      </c>
      <c r="U22" s="192">
        <v>3926211</v>
      </c>
      <c r="V22" s="192">
        <v>332369</v>
      </c>
      <c r="W22" s="185">
        <f t="shared" si="18"/>
        <v>7.8046907654664224E-2</v>
      </c>
    </row>
    <row r="23" spans="1:23" s="14" customFormat="1"/>
    <row r="24" spans="1:23" s="14" customFormat="1"/>
    <row r="25" spans="1:23" s="14" customFormat="1"/>
    <row r="26" spans="1:23" s="14" customFormat="1"/>
    <row r="27" spans="1:23" s="14" customFormat="1"/>
    <row r="28" spans="1:23" s="14" customFormat="1"/>
    <row r="29" spans="1:23" s="14" customFormat="1"/>
    <row r="30" spans="1:23" s="14" customFormat="1"/>
    <row r="31" spans="1:23" s="14" customFormat="1"/>
  </sheetData>
  <printOptions headings="1" gridLines="1"/>
  <pageMargins left="0.5" right="0.5" top="0.5" bottom="0.5" header="0" footer="0"/>
  <pageSetup paperSize="5" scale="61" orientation="landscape" r:id="rId1"/>
  <legacyDrawing r:id="rId2"/>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HL31"/>
  <sheetViews>
    <sheetView workbookViewId="0">
      <selection activeCell="D29" sqref="D29"/>
    </sheetView>
  </sheetViews>
  <sheetFormatPr defaultColWidth="8.85546875" defaultRowHeight="15"/>
  <cols>
    <col min="1" max="1" width="10.5703125" customWidth="1"/>
    <col min="2" max="2" width="10.140625" bestFit="1"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7109375" bestFit="1" customWidth="1"/>
    <col min="22" max="22" width="10.85546875" bestFit="1" customWidth="1"/>
    <col min="23" max="23" width="12.85546875" bestFit="1" customWidth="1"/>
  </cols>
  <sheetData>
    <row r="1" spans="1:220" s="8" customFormat="1" ht="18.75">
      <c r="A1" s="1" t="s">
        <v>73</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50" customFormat="1">
      <c r="A3" s="603">
        <v>2021</v>
      </c>
      <c r="B3" s="507">
        <v>16</v>
      </c>
      <c r="C3" s="507">
        <v>5.78</v>
      </c>
      <c r="D3" s="604">
        <f>SUM(B3:C3)</f>
        <v>21.78</v>
      </c>
      <c r="E3" s="411">
        <f t="shared" ref="E3" si="0">ROUND((O3/B3), 0)</f>
        <v>26</v>
      </c>
      <c r="F3" s="411">
        <f t="shared" ref="F3" si="1">ROUND((O3/D3), 0)</f>
        <v>19</v>
      </c>
      <c r="G3" s="507">
        <v>15</v>
      </c>
      <c r="H3" s="507">
        <v>5.6109999999999998</v>
      </c>
      <c r="I3" s="507">
        <v>96</v>
      </c>
      <c r="J3" s="507">
        <v>146</v>
      </c>
      <c r="K3" s="410">
        <f t="shared" ref="K3" si="2">SUM(I3:J3)</f>
        <v>242</v>
      </c>
      <c r="L3" s="507">
        <v>73</v>
      </c>
      <c r="M3" s="411">
        <f>(I3+L3)</f>
        <v>169</v>
      </c>
      <c r="N3" s="507">
        <v>29</v>
      </c>
      <c r="O3" s="507">
        <v>421.58</v>
      </c>
      <c r="P3" s="413">
        <f>M3/O3</f>
        <v>0.40087290668437781</v>
      </c>
      <c r="Q3" s="507">
        <v>80</v>
      </c>
      <c r="R3" s="507">
        <v>3</v>
      </c>
      <c r="S3" s="508">
        <v>4657347</v>
      </c>
      <c r="T3" s="415">
        <f t="shared" ref="T3" si="3">SUM(U3:V3)</f>
        <v>6661009</v>
      </c>
      <c r="U3" s="508">
        <v>4900438</v>
      </c>
      <c r="V3" s="508">
        <v>1760571</v>
      </c>
      <c r="W3" s="335">
        <f>V3/T3</f>
        <v>0.26430995664470652</v>
      </c>
    </row>
    <row r="4" spans="1:220" s="450" customFormat="1">
      <c r="A4" s="644">
        <v>2020</v>
      </c>
      <c r="B4" s="507">
        <v>15</v>
      </c>
      <c r="C4" s="507">
        <v>18</v>
      </c>
      <c r="D4" s="604">
        <f>SUM(B4:C4)</f>
        <v>33</v>
      </c>
      <c r="E4" s="411">
        <f>ROUND((O4/B4), 0)</f>
        <v>39</v>
      </c>
      <c r="F4" s="411">
        <f>ROUND((O4/D4), 0)</f>
        <v>18</v>
      </c>
      <c r="G4" s="507">
        <v>15</v>
      </c>
      <c r="H4" s="507">
        <v>4</v>
      </c>
      <c r="I4" s="507">
        <v>114</v>
      </c>
      <c r="J4" s="507">
        <v>170</v>
      </c>
      <c r="K4" s="410">
        <f t="shared" ref="K4" si="4">SUM(I4:J4)</f>
        <v>284</v>
      </c>
      <c r="L4" s="507">
        <v>62</v>
      </c>
      <c r="M4" s="411">
        <f>(I4+L4)</f>
        <v>176</v>
      </c>
      <c r="N4" s="507">
        <v>35</v>
      </c>
      <c r="O4" s="507">
        <v>585</v>
      </c>
      <c r="P4" s="413">
        <f>M4/O4</f>
        <v>0.30085470085470084</v>
      </c>
      <c r="Q4" s="507">
        <v>86</v>
      </c>
      <c r="R4" s="507">
        <v>3</v>
      </c>
      <c r="S4" s="508">
        <v>4053860</v>
      </c>
      <c r="T4" s="415">
        <f>SUM(U4:V4)</f>
        <v>4553928</v>
      </c>
      <c r="U4" s="508">
        <v>3429216</v>
      </c>
      <c r="V4" s="508">
        <v>1124712</v>
      </c>
      <c r="W4" s="335">
        <f>V4/T4</f>
        <v>0.2469762367784471</v>
      </c>
    </row>
    <row r="5" spans="1:220" s="450" customFormat="1">
      <c r="A5" s="506">
        <v>2019</v>
      </c>
      <c r="B5" s="507">
        <v>14</v>
      </c>
      <c r="C5" s="507">
        <v>7</v>
      </c>
      <c r="D5" s="410">
        <f>SUM(B5:C5)</f>
        <v>21</v>
      </c>
      <c r="E5" s="411">
        <f>ROUND((O5/B5), 0)</f>
        <v>33</v>
      </c>
      <c r="F5" s="411">
        <f>ROUND((O5/D5), 0)</f>
        <v>22</v>
      </c>
      <c r="G5" s="507">
        <v>14</v>
      </c>
      <c r="H5" s="507">
        <v>7</v>
      </c>
      <c r="I5" s="507">
        <v>131</v>
      </c>
      <c r="J5" s="507">
        <v>138</v>
      </c>
      <c r="K5" s="410">
        <f t="shared" ref="K5" si="5">SUM(I5:J5)</f>
        <v>269</v>
      </c>
      <c r="L5" s="507">
        <v>76</v>
      </c>
      <c r="M5" s="411">
        <f>(I5+L5)</f>
        <v>207</v>
      </c>
      <c r="N5" s="507">
        <v>12</v>
      </c>
      <c r="O5" s="507">
        <v>468</v>
      </c>
      <c r="P5" s="413">
        <f>M5/O5</f>
        <v>0.44230769230769229</v>
      </c>
      <c r="Q5" s="507">
        <v>88</v>
      </c>
      <c r="R5" s="507">
        <v>2</v>
      </c>
      <c r="S5" s="508">
        <v>3568880</v>
      </c>
      <c r="T5" s="415">
        <f>SUM(U5:V5)</f>
        <v>3568880</v>
      </c>
      <c r="U5" s="508">
        <v>2189912</v>
      </c>
      <c r="V5" s="508">
        <v>1378968</v>
      </c>
      <c r="W5" s="335">
        <f>V5/T5</f>
        <v>0.38638676559592927</v>
      </c>
    </row>
    <row r="6" spans="1:220" s="17" customFormat="1">
      <c r="A6" s="33">
        <v>2018</v>
      </c>
      <c r="B6" s="20">
        <v>15</v>
      </c>
      <c r="C6" s="20">
        <v>3.3</v>
      </c>
      <c r="D6" s="29">
        <f>SUM(B6:C6)</f>
        <v>18.3</v>
      </c>
      <c r="E6" s="172">
        <f>ROUND((O6/B6), 0)</f>
        <v>35</v>
      </c>
      <c r="F6" s="172">
        <f>ROUND((O6/D6), 0)</f>
        <v>29</v>
      </c>
      <c r="G6" s="20">
        <v>12</v>
      </c>
      <c r="H6" s="20">
        <v>3.3</v>
      </c>
      <c r="I6" s="20">
        <v>108</v>
      </c>
      <c r="J6" s="20">
        <v>103</v>
      </c>
      <c r="K6" s="29">
        <f t="shared" ref="K6" si="6">SUM(I6:J6)</f>
        <v>211</v>
      </c>
      <c r="L6" s="20">
        <v>64</v>
      </c>
      <c r="M6" s="172">
        <f>(I6+L6)</f>
        <v>172</v>
      </c>
      <c r="N6" s="20">
        <v>10</v>
      </c>
      <c r="O6" s="20">
        <v>528</v>
      </c>
      <c r="P6" s="183">
        <f>M6/O6</f>
        <v>0.32575757575757575</v>
      </c>
      <c r="Q6" s="20">
        <v>80</v>
      </c>
      <c r="R6" s="20">
        <v>1</v>
      </c>
      <c r="S6" s="24">
        <v>3354644</v>
      </c>
      <c r="T6" s="30">
        <f>SUM(U6:V6)</f>
        <v>3354644</v>
      </c>
      <c r="U6" s="24">
        <v>2177733</v>
      </c>
      <c r="V6" s="24">
        <v>1176911</v>
      </c>
      <c r="W6" s="185">
        <f>V6/T6</f>
        <v>0.35083037127039413</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15</v>
      </c>
      <c r="C7" s="20">
        <v>5</v>
      </c>
      <c r="D7" s="34">
        <f>SUM(B7:C7)</f>
        <v>20</v>
      </c>
      <c r="E7" s="34">
        <f>ROUND((O7/B7), 0)</f>
        <v>33</v>
      </c>
      <c r="F7" s="34">
        <f>ROUND((O7/D7), 0)</f>
        <v>25</v>
      </c>
      <c r="G7" s="20">
        <v>12</v>
      </c>
      <c r="H7" s="20">
        <v>4.3</v>
      </c>
      <c r="I7" s="20">
        <v>113</v>
      </c>
      <c r="J7" s="20">
        <v>108</v>
      </c>
      <c r="K7" s="34">
        <f>SUM(I7:J7)</f>
        <v>221</v>
      </c>
      <c r="L7" s="20">
        <v>61</v>
      </c>
      <c r="M7" s="36">
        <f>(I7+L7)</f>
        <v>174</v>
      </c>
      <c r="N7" s="344">
        <v>23</v>
      </c>
      <c r="O7" s="344">
        <v>498</v>
      </c>
      <c r="P7" s="183">
        <f t="shared" ref="P7:P22" si="7">M7/O7</f>
        <v>0.3493975903614458</v>
      </c>
      <c r="Q7" s="20">
        <v>90</v>
      </c>
      <c r="R7" s="20">
        <v>2</v>
      </c>
      <c r="S7" s="300">
        <v>3447026</v>
      </c>
      <c r="T7" s="35">
        <f>SUM(U7:V7)</f>
        <v>3447026</v>
      </c>
      <c r="U7" s="341">
        <v>2144945</v>
      </c>
      <c r="V7" s="24">
        <v>1302081</v>
      </c>
      <c r="W7" s="185">
        <f t="shared" ref="W7:W22" si="8">V7/T7</f>
        <v>0.37774040578748175</v>
      </c>
    </row>
    <row r="8" spans="1:220" s="65" customFormat="1">
      <c r="A8" s="95">
        <v>2016</v>
      </c>
      <c r="B8" s="63">
        <v>14</v>
      </c>
      <c r="C8" s="63">
        <v>6.2</v>
      </c>
      <c r="D8" s="223">
        <f>B8+C8</f>
        <v>20.2</v>
      </c>
      <c r="E8" s="80">
        <f>ROUND((O8/B8), 0)</f>
        <v>38</v>
      </c>
      <c r="F8" s="80">
        <f>ROUND((O8/D8), 0)</f>
        <v>26</v>
      </c>
      <c r="G8" s="63">
        <v>12</v>
      </c>
      <c r="H8" s="63">
        <v>6.2</v>
      </c>
      <c r="I8" s="63">
        <v>112</v>
      </c>
      <c r="J8" s="63">
        <v>102</v>
      </c>
      <c r="K8" s="223">
        <f>I8+J8</f>
        <v>214</v>
      </c>
      <c r="L8" s="63">
        <v>36.72</v>
      </c>
      <c r="M8" s="80">
        <f>I8+L8</f>
        <v>148.72</v>
      </c>
      <c r="N8" s="63">
        <v>23</v>
      </c>
      <c r="O8" s="63">
        <v>525</v>
      </c>
      <c r="P8" s="183">
        <f t="shared" si="7"/>
        <v>0.28327619047619046</v>
      </c>
      <c r="Q8" s="63">
        <v>72</v>
      </c>
      <c r="R8" s="63">
        <v>1</v>
      </c>
      <c r="S8" s="64">
        <v>3625586</v>
      </c>
      <c r="T8" s="224">
        <f>SUM(U8:V8)</f>
        <v>3625586</v>
      </c>
      <c r="U8" s="64">
        <v>1900101</v>
      </c>
      <c r="V8" s="64">
        <v>1725485</v>
      </c>
      <c r="W8" s="185">
        <f t="shared" si="8"/>
        <v>0.47591892731271579</v>
      </c>
    </row>
    <row r="9" spans="1:220" s="105" customFormat="1">
      <c r="A9" s="267">
        <v>2015</v>
      </c>
      <c r="B9" s="91">
        <v>13</v>
      </c>
      <c r="C9" s="91">
        <v>8.6</v>
      </c>
      <c r="D9" s="81">
        <v>14.6</v>
      </c>
      <c r="E9" s="81">
        <v>83.2</v>
      </c>
      <c r="F9" s="81">
        <v>34.200000000000003</v>
      </c>
      <c r="G9" s="111"/>
      <c r="H9" s="111"/>
      <c r="I9" s="91">
        <v>115</v>
      </c>
      <c r="J9" s="91">
        <v>97</v>
      </c>
      <c r="K9" s="81">
        <v>212</v>
      </c>
      <c r="L9" s="91">
        <v>54</v>
      </c>
      <c r="M9" s="81">
        <v>169.38</v>
      </c>
      <c r="N9" s="91">
        <v>5</v>
      </c>
      <c r="O9" s="91">
        <v>499.08</v>
      </c>
      <c r="P9" s="183">
        <f t="shared" si="7"/>
        <v>0.3393844674200529</v>
      </c>
      <c r="Q9" s="91">
        <v>87</v>
      </c>
      <c r="R9" s="91">
        <v>0</v>
      </c>
      <c r="S9" s="102">
        <v>3573535</v>
      </c>
      <c r="T9" s="103">
        <v>3573535</v>
      </c>
      <c r="U9" s="102">
        <v>2111223</v>
      </c>
      <c r="V9" s="102">
        <v>1462312</v>
      </c>
      <c r="W9" s="185">
        <f t="shared" si="8"/>
        <v>0.40920601029512793</v>
      </c>
    </row>
    <row r="10" spans="1:220" s="333" customFormat="1">
      <c r="A10" s="90">
        <v>2014</v>
      </c>
      <c r="B10" s="331">
        <v>14</v>
      </c>
      <c r="C10" s="331">
        <v>2</v>
      </c>
      <c r="D10" s="223">
        <f>B10+C10</f>
        <v>16</v>
      </c>
      <c r="E10" s="80">
        <f t="shared" ref="E10:E22" si="9">ROUND((O10/B10), 0)</f>
        <v>28</v>
      </c>
      <c r="F10" s="80">
        <f t="shared" ref="F10:F22" si="10">ROUND((O10/D10), 0)</f>
        <v>25</v>
      </c>
      <c r="G10" s="111"/>
      <c r="H10" s="111"/>
      <c r="I10" s="331">
        <v>127</v>
      </c>
      <c r="J10" s="331">
        <v>88</v>
      </c>
      <c r="K10" s="223">
        <f>I10+J10</f>
        <v>215</v>
      </c>
      <c r="L10" s="331">
        <v>47.46</v>
      </c>
      <c r="M10" s="80">
        <f>I10+L10</f>
        <v>174.46</v>
      </c>
      <c r="N10" s="331">
        <v>19</v>
      </c>
      <c r="O10" s="331">
        <v>393</v>
      </c>
      <c r="P10" s="183">
        <f t="shared" si="7"/>
        <v>0.44391857506361326</v>
      </c>
      <c r="Q10" s="331">
        <v>75</v>
      </c>
      <c r="R10" s="331">
        <v>0</v>
      </c>
      <c r="S10" s="332">
        <v>3380174</v>
      </c>
      <c r="T10" s="224">
        <f t="shared" ref="T10:T22" si="11">SUM(U10:V10)</f>
        <v>3554100</v>
      </c>
      <c r="U10" s="332">
        <v>2516223</v>
      </c>
      <c r="V10" s="332">
        <v>1037877</v>
      </c>
      <c r="W10" s="185">
        <f t="shared" si="8"/>
        <v>0.29202245294167301</v>
      </c>
    </row>
    <row r="11" spans="1:220" s="231" customFormat="1">
      <c r="A11" s="236">
        <v>2013</v>
      </c>
      <c r="B11" s="226">
        <v>14</v>
      </c>
      <c r="C11" s="226">
        <v>4.2</v>
      </c>
      <c r="D11" s="227">
        <f>B11+C11</f>
        <v>18.2</v>
      </c>
      <c r="E11" s="228">
        <f t="shared" si="9"/>
        <v>16</v>
      </c>
      <c r="F11" s="228">
        <f t="shared" si="10"/>
        <v>13</v>
      </c>
      <c r="G11" s="113"/>
      <c r="H11" s="113"/>
      <c r="I11" s="226">
        <v>125</v>
      </c>
      <c r="J11" s="226">
        <v>85</v>
      </c>
      <c r="K11" s="227">
        <f>I11+J11</f>
        <v>210</v>
      </c>
      <c r="L11" s="226">
        <v>50.15</v>
      </c>
      <c r="M11" s="228">
        <f>I11+L11</f>
        <v>175.15</v>
      </c>
      <c r="N11" s="226">
        <v>25</v>
      </c>
      <c r="O11" s="226">
        <v>230.55</v>
      </c>
      <c r="P11" s="183">
        <f t="shared" si="7"/>
        <v>0.75970505313381043</v>
      </c>
      <c r="Q11" s="226">
        <v>88</v>
      </c>
      <c r="R11" s="226">
        <v>3</v>
      </c>
      <c r="S11" s="229">
        <v>3539211</v>
      </c>
      <c r="T11" s="230">
        <f t="shared" si="11"/>
        <v>3539211</v>
      </c>
      <c r="U11" s="229">
        <v>2466332</v>
      </c>
      <c r="V11" s="229">
        <v>1072879</v>
      </c>
      <c r="W11" s="185">
        <f t="shared" si="8"/>
        <v>0.30314072825836041</v>
      </c>
    </row>
    <row r="12" spans="1:220" s="231" customFormat="1">
      <c r="A12" s="236">
        <v>2012</v>
      </c>
      <c r="B12" s="226">
        <v>15</v>
      </c>
      <c r="C12" s="226">
        <v>2</v>
      </c>
      <c r="D12" s="227">
        <f>B12+C12</f>
        <v>17</v>
      </c>
      <c r="E12" s="228">
        <f t="shared" si="9"/>
        <v>12</v>
      </c>
      <c r="F12" s="228">
        <f t="shared" si="10"/>
        <v>10</v>
      </c>
      <c r="G12" s="113"/>
      <c r="H12" s="113"/>
      <c r="I12" s="226">
        <v>126</v>
      </c>
      <c r="J12" s="226">
        <v>82</v>
      </c>
      <c r="K12" s="227">
        <f>I12+J12</f>
        <v>208</v>
      </c>
      <c r="L12" s="226">
        <v>45.76</v>
      </c>
      <c r="M12" s="228">
        <f>I12+L12</f>
        <v>171.76</v>
      </c>
      <c r="N12" s="226">
        <v>14</v>
      </c>
      <c r="O12" s="226">
        <v>177.76</v>
      </c>
      <c r="P12" s="183">
        <f t="shared" si="7"/>
        <v>0.96624662466246625</v>
      </c>
      <c r="Q12" s="226">
        <v>74</v>
      </c>
      <c r="R12" s="226">
        <v>4</v>
      </c>
      <c r="S12" s="229">
        <v>3799294</v>
      </c>
      <c r="T12" s="230">
        <f t="shared" si="11"/>
        <v>3799294</v>
      </c>
      <c r="U12" s="229">
        <v>2145569</v>
      </c>
      <c r="V12" s="229">
        <v>1653725</v>
      </c>
      <c r="W12" s="185">
        <f t="shared" si="8"/>
        <v>0.43527165836600168</v>
      </c>
    </row>
    <row r="13" spans="1:220" s="231" customFormat="1">
      <c r="A13" s="236" t="s">
        <v>81</v>
      </c>
      <c r="B13" s="226">
        <v>9</v>
      </c>
      <c r="C13" s="226">
        <v>7</v>
      </c>
      <c r="D13" s="227">
        <f t="shared" ref="D13:D22" si="12">SUM(B13:C13)</f>
        <v>16</v>
      </c>
      <c r="E13" s="228">
        <f t="shared" si="9"/>
        <v>22</v>
      </c>
      <c r="F13" s="228">
        <f t="shared" si="10"/>
        <v>12</v>
      </c>
      <c r="G13" s="113"/>
      <c r="H13" s="113"/>
      <c r="I13" s="226">
        <v>138</v>
      </c>
      <c r="J13" s="226">
        <v>79</v>
      </c>
      <c r="K13" s="227">
        <f t="shared" ref="K13:K22" si="13">SUM(I13:J13)</f>
        <v>217</v>
      </c>
      <c r="L13" s="226">
        <v>48.51</v>
      </c>
      <c r="M13" s="228">
        <f t="shared" ref="M13:M22" si="14">(I13+L13)</f>
        <v>186.51</v>
      </c>
      <c r="N13" s="226">
        <v>18</v>
      </c>
      <c r="O13" s="226">
        <v>197.26</v>
      </c>
      <c r="P13" s="183">
        <f t="shared" si="7"/>
        <v>0.94550339653249516</v>
      </c>
      <c r="Q13" s="226">
        <v>80</v>
      </c>
      <c r="R13" s="226">
        <v>2</v>
      </c>
      <c r="S13" s="229">
        <v>3798860</v>
      </c>
      <c r="T13" s="230">
        <f t="shared" si="11"/>
        <v>3857320</v>
      </c>
      <c r="U13" s="229">
        <v>2414908</v>
      </c>
      <c r="V13" s="229">
        <v>1442412</v>
      </c>
      <c r="W13" s="185">
        <f t="shared" si="8"/>
        <v>0.37394149305735591</v>
      </c>
    </row>
    <row r="14" spans="1:220" s="231" customFormat="1">
      <c r="A14" s="236" t="s">
        <v>82</v>
      </c>
      <c r="B14" s="226">
        <v>10</v>
      </c>
      <c r="C14" s="226">
        <v>7</v>
      </c>
      <c r="D14" s="227">
        <f t="shared" si="12"/>
        <v>17</v>
      </c>
      <c r="E14" s="228">
        <f t="shared" si="9"/>
        <v>18</v>
      </c>
      <c r="F14" s="228">
        <f t="shared" si="10"/>
        <v>11</v>
      </c>
      <c r="G14" s="113"/>
      <c r="H14" s="113"/>
      <c r="I14" s="226">
        <v>134</v>
      </c>
      <c r="J14" s="226">
        <v>66</v>
      </c>
      <c r="K14" s="227">
        <f t="shared" si="13"/>
        <v>200</v>
      </c>
      <c r="L14" s="226">
        <v>38.78</v>
      </c>
      <c r="M14" s="228">
        <f t="shared" si="14"/>
        <v>172.78</v>
      </c>
      <c r="N14" s="226">
        <v>20</v>
      </c>
      <c r="O14" s="226">
        <v>184.78</v>
      </c>
      <c r="P14" s="183">
        <f t="shared" si="7"/>
        <v>0.93505790669985933</v>
      </c>
      <c r="Q14" s="226">
        <v>102</v>
      </c>
      <c r="R14" s="226">
        <v>1</v>
      </c>
      <c r="S14" s="229">
        <v>3850296</v>
      </c>
      <c r="T14" s="230">
        <f t="shared" si="11"/>
        <v>3850296</v>
      </c>
      <c r="U14" s="229">
        <v>2464243</v>
      </c>
      <c r="V14" s="229">
        <v>1386053</v>
      </c>
      <c r="W14" s="185">
        <f t="shared" si="8"/>
        <v>0.35998608938118004</v>
      </c>
    </row>
    <row r="15" spans="1:220" s="231" customFormat="1">
      <c r="A15" s="236" t="s">
        <v>83</v>
      </c>
      <c r="B15" s="226">
        <v>9</v>
      </c>
      <c r="C15" s="226">
        <v>7</v>
      </c>
      <c r="D15" s="227">
        <f t="shared" si="12"/>
        <v>16</v>
      </c>
      <c r="E15" s="228">
        <f t="shared" si="9"/>
        <v>20</v>
      </c>
      <c r="F15" s="228">
        <f t="shared" si="10"/>
        <v>11</v>
      </c>
      <c r="G15" s="113"/>
      <c r="H15" s="113"/>
      <c r="I15" s="226">
        <v>138</v>
      </c>
      <c r="J15" s="226">
        <v>63</v>
      </c>
      <c r="K15" s="227">
        <f t="shared" si="13"/>
        <v>201</v>
      </c>
      <c r="L15" s="226">
        <v>33.03</v>
      </c>
      <c r="M15" s="228">
        <f t="shared" si="14"/>
        <v>171.03</v>
      </c>
      <c r="N15" s="226">
        <v>14</v>
      </c>
      <c r="O15" s="226">
        <v>181.03</v>
      </c>
      <c r="P15" s="183">
        <f t="shared" si="7"/>
        <v>0.94476053692758111</v>
      </c>
      <c r="Q15" s="226">
        <v>86</v>
      </c>
      <c r="R15" s="226">
        <v>1</v>
      </c>
      <c r="S15" s="229">
        <v>3797096.34</v>
      </c>
      <c r="T15" s="230">
        <f t="shared" si="11"/>
        <v>3797096</v>
      </c>
      <c r="U15" s="229">
        <v>2433717</v>
      </c>
      <c r="V15" s="229">
        <v>1363379</v>
      </c>
      <c r="W15" s="185">
        <f t="shared" si="8"/>
        <v>0.35905834353411131</v>
      </c>
    </row>
    <row r="16" spans="1:220" s="231" customFormat="1">
      <c r="A16" s="236" t="s">
        <v>84</v>
      </c>
      <c r="B16" s="226">
        <v>10</v>
      </c>
      <c r="C16" s="226">
        <v>7</v>
      </c>
      <c r="D16" s="227">
        <f t="shared" si="12"/>
        <v>17</v>
      </c>
      <c r="E16" s="228">
        <f t="shared" si="9"/>
        <v>22</v>
      </c>
      <c r="F16" s="228">
        <f t="shared" si="10"/>
        <v>13</v>
      </c>
      <c r="G16" s="113"/>
      <c r="H16" s="113"/>
      <c r="I16" s="226">
        <v>143</v>
      </c>
      <c r="J16" s="226">
        <v>77</v>
      </c>
      <c r="K16" s="227">
        <f t="shared" si="13"/>
        <v>220</v>
      </c>
      <c r="L16" s="226">
        <v>50.875</v>
      </c>
      <c r="M16" s="228">
        <f t="shared" si="14"/>
        <v>193.875</v>
      </c>
      <c r="N16" s="226">
        <v>14</v>
      </c>
      <c r="O16" s="226">
        <v>223</v>
      </c>
      <c r="P16" s="183">
        <f t="shared" si="7"/>
        <v>0.86939461883408076</v>
      </c>
      <c r="Q16" s="226">
        <v>98</v>
      </c>
      <c r="R16" s="226">
        <v>1</v>
      </c>
      <c r="S16" s="229">
        <v>3859360.4</v>
      </c>
      <c r="T16" s="230">
        <f t="shared" si="11"/>
        <v>3859360</v>
      </c>
      <c r="U16" s="229">
        <v>2482771</v>
      </c>
      <c r="V16" s="229">
        <v>1376589</v>
      </c>
      <c r="W16" s="185">
        <f t="shared" si="8"/>
        <v>0.35668841465942541</v>
      </c>
    </row>
    <row r="17" spans="1:23" s="231" customFormat="1">
      <c r="A17" s="236">
        <v>2007</v>
      </c>
      <c r="B17" s="226">
        <v>10</v>
      </c>
      <c r="C17" s="226">
        <v>6</v>
      </c>
      <c r="D17" s="232">
        <f t="shared" si="12"/>
        <v>16</v>
      </c>
      <c r="E17" s="228">
        <f t="shared" si="9"/>
        <v>22</v>
      </c>
      <c r="F17" s="228">
        <f t="shared" si="10"/>
        <v>13</v>
      </c>
      <c r="G17" s="113"/>
      <c r="H17" s="113"/>
      <c r="I17" s="226">
        <v>135</v>
      </c>
      <c r="J17" s="226">
        <v>103</v>
      </c>
      <c r="K17" s="232">
        <f t="shared" si="13"/>
        <v>238</v>
      </c>
      <c r="L17" s="226">
        <v>66.625</v>
      </c>
      <c r="M17" s="228">
        <f t="shared" si="14"/>
        <v>201.625</v>
      </c>
      <c r="N17" s="226">
        <v>17</v>
      </c>
      <c r="O17" s="226">
        <v>215</v>
      </c>
      <c r="P17" s="183">
        <f t="shared" si="7"/>
        <v>0.93779069767441858</v>
      </c>
      <c r="Q17" s="226">
        <v>77</v>
      </c>
      <c r="R17" s="226">
        <v>3</v>
      </c>
      <c r="S17" s="233">
        <v>4122944</v>
      </c>
      <c r="T17" s="230">
        <f t="shared" si="11"/>
        <v>4122944</v>
      </c>
      <c r="U17" s="233">
        <v>2826715</v>
      </c>
      <c r="V17" s="233">
        <v>1296229</v>
      </c>
      <c r="W17" s="185">
        <f t="shared" si="8"/>
        <v>0.314394034942022</v>
      </c>
    </row>
    <row r="18" spans="1:23" s="231" customFormat="1">
      <c r="A18" s="236">
        <v>2006</v>
      </c>
      <c r="B18" s="226">
        <v>10.5</v>
      </c>
      <c r="C18" s="226">
        <v>4.5</v>
      </c>
      <c r="D18" s="232">
        <f t="shared" si="12"/>
        <v>15</v>
      </c>
      <c r="E18" s="228">
        <f t="shared" si="9"/>
        <v>19</v>
      </c>
      <c r="F18" s="228">
        <f t="shared" si="10"/>
        <v>13</v>
      </c>
      <c r="G18" s="113"/>
      <c r="H18" s="113"/>
      <c r="I18" s="226">
        <v>121</v>
      </c>
      <c r="J18" s="226">
        <v>91</v>
      </c>
      <c r="K18" s="232">
        <f t="shared" si="13"/>
        <v>212</v>
      </c>
      <c r="L18" s="226">
        <v>59</v>
      </c>
      <c r="M18" s="228">
        <f t="shared" si="14"/>
        <v>180</v>
      </c>
      <c r="N18" s="226">
        <v>15</v>
      </c>
      <c r="O18" s="226">
        <v>202</v>
      </c>
      <c r="P18" s="183">
        <f t="shared" si="7"/>
        <v>0.8910891089108911</v>
      </c>
      <c r="Q18" s="226">
        <v>90</v>
      </c>
      <c r="R18" s="226">
        <v>4</v>
      </c>
      <c r="S18" s="233">
        <v>2502596</v>
      </c>
      <c r="T18" s="230">
        <f t="shared" si="11"/>
        <v>2502596</v>
      </c>
      <c r="U18" s="233">
        <v>1787899</v>
      </c>
      <c r="V18" s="233">
        <v>714697</v>
      </c>
      <c r="W18" s="185">
        <f t="shared" si="8"/>
        <v>0.28558225139015647</v>
      </c>
    </row>
    <row r="19" spans="1:23" s="231" customFormat="1">
      <c r="A19" s="236">
        <v>2005</v>
      </c>
      <c r="B19" s="226">
        <v>6</v>
      </c>
      <c r="C19" s="226">
        <v>7</v>
      </c>
      <c r="D19" s="232">
        <f t="shared" si="12"/>
        <v>13</v>
      </c>
      <c r="E19" s="228">
        <f t="shared" si="9"/>
        <v>32</v>
      </c>
      <c r="F19" s="228">
        <f t="shared" si="10"/>
        <v>15</v>
      </c>
      <c r="G19" s="113"/>
      <c r="H19" s="113"/>
      <c r="I19" s="226">
        <v>125</v>
      </c>
      <c r="J19" s="226">
        <v>86</v>
      </c>
      <c r="K19" s="232">
        <f t="shared" si="13"/>
        <v>211</v>
      </c>
      <c r="L19" s="226">
        <v>55</v>
      </c>
      <c r="M19" s="228">
        <f t="shared" si="14"/>
        <v>180</v>
      </c>
      <c r="N19" s="226">
        <v>12</v>
      </c>
      <c r="O19" s="226">
        <v>194</v>
      </c>
      <c r="P19" s="183">
        <f t="shared" si="7"/>
        <v>0.92783505154639179</v>
      </c>
      <c r="Q19" s="226">
        <v>64</v>
      </c>
      <c r="R19" s="226">
        <v>3</v>
      </c>
      <c r="S19" s="233">
        <v>2410724</v>
      </c>
      <c r="T19" s="230">
        <f t="shared" si="11"/>
        <v>2410724</v>
      </c>
      <c r="U19" s="233">
        <v>1722774</v>
      </c>
      <c r="V19" s="233">
        <v>687950</v>
      </c>
      <c r="W19" s="185">
        <f t="shared" si="8"/>
        <v>0.28537070191361597</v>
      </c>
    </row>
    <row r="20" spans="1:23" s="231" customFormat="1">
      <c r="A20" s="236">
        <v>2004</v>
      </c>
      <c r="B20" s="237">
        <v>8</v>
      </c>
      <c r="C20" s="237">
        <v>5</v>
      </c>
      <c r="D20" s="232">
        <f t="shared" si="12"/>
        <v>13</v>
      </c>
      <c r="E20" s="228">
        <f t="shared" si="9"/>
        <v>22</v>
      </c>
      <c r="F20" s="228">
        <f t="shared" si="10"/>
        <v>14</v>
      </c>
      <c r="G20" s="113"/>
      <c r="H20" s="113"/>
      <c r="I20" s="237">
        <v>124</v>
      </c>
      <c r="J20" s="237">
        <v>56</v>
      </c>
      <c r="K20" s="232">
        <f t="shared" si="13"/>
        <v>180</v>
      </c>
      <c r="L20" s="237">
        <v>34.5</v>
      </c>
      <c r="M20" s="228">
        <f t="shared" si="14"/>
        <v>158.5</v>
      </c>
      <c r="N20" s="237">
        <v>4</v>
      </c>
      <c r="O20" s="237">
        <v>176</v>
      </c>
      <c r="P20" s="183">
        <f t="shared" si="7"/>
        <v>0.90056818181818177</v>
      </c>
      <c r="Q20" s="237">
        <v>82</v>
      </c>
      <c r="R20" s="226">
        <v>3</v>
      </c>
      <c r="S20" s="233">
        <v>2338866</v>
      </c>
      <c r="T20" s="230">
        <f t="shared" si="11"/>
        <v>2338866</v>
      </c>
      <c r="U20" s="233">
        <v>1587715</v>
      </c>
      <c r="V20" s="233">
        <v>751151</v>
      </c>
      <c r="W20" s="185">
        <f t="shared" si="8"/>
        <v>0.3211603400964399</v>
      </c>
    </row>
    <row r="21" spans="1:23" s="231" customFormat="1">
      <c r="A21" s="236">
        <v>2003</v>
      </c>
      <c r="B21" s="237">
        <v>7</v>
      </c>
      <c r="C21" s="237">
        <v>3</v>
      </c>
      <c r="D21" s="232">
        <f t="shared" si="12"/>
        <v>10</v>
      </c>
      <c r="E21" s="228">
        <f t="shared" si="9"/>
        <v>27</v>
      </c>
      <c r="F21" s="228">
        <f t="shared" si="10"/>
        <v>19</v>
      </c>
      <c r="G21" s="113"/>
      <c r="H21" s="113"/>
      <c r="I21" s="237">
        <v>109</v>
      </c>
      <c r="J21" s="237">
        <v>72</v>
      </c>
      <c r="K21" s="232">
        <f t="shared" si="13"/>
        <v>181</v>
      </c>
      <c r="L21" s="237">
        <v>44</v>
      </c>
      <c r="M21" s="228">
        <f t="shared" si="14"/>
        <v>153</v>
      </c>
      <c r="N21" s="237">
        <v>6</v>
      </c>
      <c r="O21" s="237">
        <v>191</v>
      </c>
      <c r="P21" s="183">
        <f t="shared" si="7"/>
        <v>0.80104712041884818</v>
      </c>
      <c r="Q21" s="237">
        <v>67</v>
      </c>
      <c r="R21" s="226">
        <v>2</v>
      </c>
      <c r="S21" s="233">
        <v>2298845</v>
      </c>
      <c r="T21" s="230">
        <f t="shared" si="11"/>
        <v>2298845</v>
      </c>
      <c r="U21" s="233">
        <v>1492940</v>
      </c>
      <c r="V21" s="233">
        <v>805905</v>
      </c>
      <c r="W21" s="185">
        <f t="shared" si="8"/>
        <v>0.35056952513109846</v>
      </c>
    </row>
    <row r="22" spans="1:23" s="231" customFormat="1">
      <c r="A22" s="236">
        <v>2002</v>
      </c>
      <c r="B22" s="237">
        <v>8</v>
      </c>
      <c r="C22" s="237">
        <v>2</v>
      </c>
      <c r="D22" s="232">
        <f t="shared" si="12"/>
        <v>10</v>
      </c>
      <c r="E22" s="228">
        <f t="shared" si="9"/>
        <v>21</v>
      </c>
      <c r="F22" s="228">
        <f t="shared" si="10"/>
        <v>17</v>
      </c>
      <c r="G22" s="113"/>
      <c r="H22" s="113"/>
      <c r="I22" s="237">
        <v>101</v>
      </c>
      <c r="J22" s="237">
        <v>80</v>
      </c>
      <c r="K22" s="232">
        <f t="shared" si="13"/>
        <v>181</v>
      </c>
      <c r="L22" s="237">
        <f>ROUND(48.01, 0)</f>
        <v>48</v>
      </c>
      <c r="M22" s="228">
        <f t="shared" si="14"/>
        <v>149</v>
      </c>
      <c r="N22" s="237">
        <v>8</v>
      </c>
      <c r="O22" s="237">
        <f>ROUND(170.14, 0)</f>
        <v>170</v>
      </c>
      <c r="P22" s="183">
        <f t="shared" si="7"/>
        <v>0.87647058823529411</v>
      </c>
      <c r="Q22" s="237">
        <v>80</v>
      </c>
      <c r="R22" s="226">
        <v>0</v>
      </c>
      <c r="S22" s="233">
        <v>2304305</v>
      </c>
      <c r="T22" s="230">
        <f t="shared" si="11"/>
        <v>2304305</v>
      </c>
      <c r="U22" s="233">
        <v>1816222</v>
      </c>
      <c r="V22" s="233">
        <v>488083</v>
      </c>
      <c r="W22" s="185">
        <f t="shared" si="8"/>
        <v>0.21181354030824912</v>
      </c>
    </row>
    <row r="23" spans="1:23" s="71" customFormat="1">
      <c r="A23" s="654" t="s">
        <v>186</v>
      </c>
      <c r="B23" s="656"/>
      <c r="C23" s="656"/>
      <c r="D23" s="656"/>
      <c r="E23" s="656"/>
      <c r="F23" s="656"/>
      <c r="G23" s="656"/>
      <c r="H23" s="656"/>
      <c r="I23" s="656"/>
      <c r="J23" s="656"/>
      <c r="K23" s="656"/>
      <c r="L23" s="656"/>
      <c r="M23" s="656"/>
      <c r="N23" s="656"/>
      <c r="O23" s="656"/>
      <c r="P23" s="656"/>
      <c r="Q23" s="656"/>
      <c r="R23" s="656"/>
      <c r="S23" s="656"/>
      <c r="T23" s="656"/>
      <c r="U23" s="656"/>
      <c r="V23" s="656"/>
      <c r="W23" s="656"/>
    </row>
    <row r="24" spans="1:23" s="13" customFormat="1">
      <c r="G24" s="26"/>
      <c r="H24" s="26"/>
    </row>
    <row r="25" spans="1:23" s="13" customFormat="1">
      <c r="G25" s="26"/>
      <c r="H25" s="26"/>
    </row>
    <row r="26" spans="1:23" s="13" customFormat="1">
      <c r="G26" s="26"/>
      <c r="H26" s="26"/>
    </row>
    <row r="27" spans="1:23" s="13" customFormat="1">
      <c r="G27" s="26"/>
      <c r="H27" s="26"/>
    </row>
    <row r="28" spans="1:23" s="13" customFormat="1">
      <c r="G28" s="26"/>
      <c r="H28" s="26"/>
    </row>
    <row r="29" spans="1:23" s="13" customFormat="1">
      <c r="G29" s="26"/>
      <c r="H29" s="26"/>
    </row>
    <row r="30" spans="1:23" s="14" customFormat="1">
      <c r="G30"/>
      <c r="H30"/>
    </row>
    <row r="31" spans="1:23" s="14" customFormat="1">
      <c r="G31"/>
      <c r="H31"/>
    </row>
  </sheetData>
  <mergeCells count="1">
    <mergeCell ref="A23:W23"/>
  </mergeCells>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HL32"/>
  <sheetViews>
    <sheetView workbookViewId="0">
      <selection activeCell="D25" sqref="D25"/>
    </sheetView>
  </sheetViews>
  <sheetFormatPr defaultColWidth="8.85546875" defaultRowHeight="15"/>
  <cols>
    <col min="1" max="1" width="9.7109375" customWidth="1"/>
    <col min="2" max="2" width="8.42578125" customWidth="1"/>
    <col min="3" max="3" width="8.42578125" bestFit="1" customWidth="1"/>
    <col min="4" max="4" width="9.28515625" bestFit="1" customWidth="1"/>
    <col min="5" max="5" width="12.28515625" bestFit="1" customWidth="1"/>
    <col min="6" max="6" width="11.42578125" bestFit="1" customWidth="1"/>
    <col min="7" max="8" width="12.140625" customWidth="1"/>
    <col min="9" max="9" width="8.85546875" bestFit="1" customWidth="1"/>
    <col min="10" max="11" width="11.85546875" bestFit="1" customWidth="1"/>
    <col min="12" max="12" width="12.28515625" bestFit="1" customWidth="1"/>
    <col min="13" max="14" width="13.140625" bestFit="1" customWidth="1"/>
    <col min="15" max="15" width="13.42578125" bestFit="1" customWidth="1"/>
    <col min="16" max="16" width="14.28515625" customWidth="1"/>
    <col min="17" max="17" width="12.42578125" bestFit="1" customWidth="1"/>
    <col min="18" max="18" width="9" bestFit="1" customWidth="1"/>
    <col min="19" max="19" width="11.85546875" bestFit="1" customWidth="1"/>
    <col min="20" max="20" width="12.85546875" bestFit="1" customWidth="1"/>
    <col min="21" max="21" width="10.42578125" bestFit="1" customWidth="1"/>
    <col min="22" max="22" width="10.85546875" bestFit="1" customWidth="1"/>
    <col min="23" max="23" width="12.85546875" bestFit="1" customWidth="1"/>
  </cols>
  <sheetData>
    <row r="1" spans="1:220" s="8" customFormat="1" ht="18.75">
      <c r="A1" s="1" t="s">
        <v>74</v>
      </c>
      <c r="B1" s="2"/>
      <c r="C1" s="1"/>
      <c r="D1" s="1"/>
      <c r="E1" s="1"/>
      <c r="F1" s="1"/>
      <c r="G1" s="1"/>
      <c r="H1" s="1"/>
      <c r="I1" s="1"/>
      <c r="J1" s="1"/>
      <c r="K1" s="1"/>
      <c r="L1" s="1"/>
      <c r="M1" s="1"/>
      <c r="N1" s="1"/>
      <c r="O1" s="1"/>
      <c r="P1" s="1"/>
      <c r="Q1" s="1"/>
      <c r="R1" s="1"/>
      <c r="S1" s="1"/>
      <c r="T1" s="1"/>
      <c r="U1" s="1"/>
      <c r="V1" s="1"/>
      <c r="W1" s="1"/>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17" customFormat="1">
      <c r="A3" s="11">
        <v>2021</v>
      </c>
      <c r="B3" s="409">
        <v>28</v>
      </c>
      <c r="C3" s="409">
        <v>3</v>
      </c>
      <c r="D3" s="410">
        <v>31</v>
      </c>
      <c r="E3" s="411">
        <v>22</v>
      </c>
      <c r="F3" s="411">
        <v>20</v>
      </c>
      <c r="G3" s="409">
        <v>28</v>
      </c>
      <c r="H3" s="409">
        <v>3</v>
      </c>
      <c r="I3" s="409">
        <v>106</v>
      </c>
      <c r="J3" s="409">
        <v>234</v>
      </c>
      <c r="K3" s="410">
        <v>340</v>
      </c>
      <c r="L3" s="409">
        <v>97.07</v>
      </c>
      <c r="M3" s="411">
        <v>182</v>
      </c>
      <c r="N3" s="409">
        <v>49</v>
      </c>
      <c r="O3" s="409">
        <v>609</v>
      </c>
      <c r="P3" s="413">
        <v>0.29809999999999998</v>
      </c>
      <c r="Q3" s="409">
        <v>148</v>
      </c>
      <c r="R3" s="409">
        <v>194</v>
      </c>
      <c r="S3" s="414">
        <v>5198153</v>
      </c>
      <c r="T3" s="415">
        <v>5198153</v>
      </c>
      <c r="U3" s="414">
        <v>3217503</v>
      </c>
      <c r="V3" s="414">
        <v>1980650</v>
      </c>
      <c r="W3" s="335">
        <v>0.38100000000000001</v>
      </c>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row>
    <row r="4" spans="1:220" s="17" customFormat="1">
      <c r="A4" s="11">
        <v>2020</v>
      </c>
      <c r="B4" s="409">
        <v>28</v>
      </c>
      <c r="C4" s="409">
        <v>3</v>
      </c>
      <c r="D4" s="410">
        <v>31</v>
      </c>
      <c r="E4" s="411">
        <v>23</v>
      </c>
      <c r="F4" s="411">
        <v>21</v>
      </c>
      <c r="G4" s="409">
        <v>28</v>
      </c>
      <c r="H4" s="409">
        <v>3</v>
      </c>
      <c r="I4" s="409">
        <v>135</v>
      </c>
      <c r="J4" s="409">
        <v>221</v>
      </c>
      <c r="K4" s="410">
        <v>356</v>
      </c>
      <c r="L4" s="409">
        <v>92.08</v>
      </c>
      <c r="M4" s="411">
        <v>199.08</v>
      </c>
      <c r="N4" s="409">
        <v>45</v>
      </c>
      <c r="O4" s="409">
        <v>644</v>
      </c>
      <c r="P4" s="413">
        <v>0.3236</v>
      </c>
      <c r="Q4" s="409">
        <v>141</v>
      </c>
      <c r="R4" s="409">
        <v>201</v>
      </c>
      <c r="S4" s="414">
        <v>5998653</v>
      </c>
      <c r="T4" s="415">
        <v>5998653</v>
      </c>
      <c r="U4" s="414">
        <v>3473449</v>
      </c>
      <c r="V4" s="414">
        <v>2525204</v>
      </c>
      <c r="W4" s="335">
        <v>0.42099999999999999</v>
      </c>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85"/>
      <c r="EN4" s="285"/>
      <c r="EO4" s="285"/>
      <c r="EP4" s="285"/>
      <c r="EQ4" s="285"/>
      <c r="ER4" s="285"/>
      <c r="ES4" s="285"/>
      <c r="ET4" s="285"/>
      <c r="EU4" s="285"/>
      <c r="EV4" s="285"/>
      <c r="EW4" s="285"/>
      <c r="EX4" s="285"/>
      <c r="EY4" s="285"/>
      <c r="EZ4" s="285"/>
      <c r="FA4" s="285"/>
      <c r="FB4" s="285"/>
      <c r="FC4" s="285"/>
      <c r="FD4" s="285"/>
      <c r="FE4" s="285"/>
      <c r="FF4" s="285"/>
      <c r="FG4" s="285"/>
      <c r="FH4" s="285"/>
      <c r="FI4" s="285"/>
      <c r="FJ4" s="285"/>
      <c r="FK4" s="285"/>
      <c r="FL4" s="285"/>
      <c r="FM4" s="285"/>
      <c r="FN4" s="285"/>
      <c r="FO4" s="285"/>
      <c r="FP4" s="285"/>
      <c r="FQ4" s="285"/>
      <c r="FR4" s="285"/>
      <c r="FS4" s="285"/>
      <c r="FT4" s="285"/>
      <c r="FU4" s="285"/>
      <c r="FV4" s="285"/>
      <c r="FW4" s="285"/>
      <c r="FX4" s="285"/>
      <c r="FY4" s="285"/>
      <c r="FZ4" s="285"/>
      <c r="GA4" s="285"/>
      <c r="GB4" s="285"/>
      <c r="GC4" s="285"/>
      <c r="GD4" s="285"/>
      <c r="GE4" s="285"/>
      <c r="GF4" s="285"/>
      <c r="GG4" s="285"/>
      <c r="GH4" s="285"/>
      <c r="GI4" s="285"/>
      <c r="GJ4" s="285"/>
      <c r="GK4" s="285"/>
      <c r="GL4" s="285"/>
      <c r="GM4" s="285"/>
      <c r="GN4" s="285"/>
      <c r="GO4" s="285"/>
      <c r="GP4" s="285"/>
      <c r="GQ4" s="285"/>
      <c r="GR4" s="285"/>
      <c r="GS4" s="285"/>
      <c r="GT4" s="285"/>
      <c r="GU4" s="285"/>
      <c r="GV4" s="285"/>
      <c r="GW4" s="285"/>
      <c r="GX4" s="285"/>
      <c r="GY4" s="285"/>
      <c r="GZ4" s="285"/>
      <c r="HA4" s="285"/>
      <c r="HB4" s="285"/>
      <c r="HC4" s="285"/>
      <c r="HD4" s="285"/>
      <c r="HE4" s="285"/>
      <c r="HF4" s="285"/>
      <c r="HG4" s="285"/>
      <c r="HH4" s="285"/>
      <c r="HI4" s="285"/>
      <c r="HJ4" s="285"/>
      <c r="HK4" s="285"/>
      <c r="HL4" s="285"/>
    </row>
    <row r="5" spans="1:220" s="17" customFormat="1">
      <c r="A5" s="11">
        <v>2019</v>
      </c>
      <c r="B5" s="409">
        <v>28</v>
      </c>
      <c r="C5" s="409">
        <v>3</v>
      </c>
      <c r="D5" s="410">
        <v>31</v>
      </c>
      <c r="E5" s="411">
        <v>37</v>
      </c>
      <c r="F5" s="411">
        <v>33</v>
      </c>
      <c r="G5" s="409">
        <v>28</v>
      </c>
      <c r="H5" s="409">
        <v>1</v>
      </c>
      <c r="I5" s="409">
        <v>52</v>
      </c>
      <c r="J5" s="409">
        <v>336</v>
      </c>
      <c r="K5" s="410">
        <f>SUM(I5:J5)</f>
        <v>388</v>
      </c>
      <c r="L5" s="409">
        <v>62.5</v>
      </c>
      <c r="M5" s="411">
        <f>(I5+L5)</f>
        <v>114.5</v>
      </c>
      <c r="N5" s="409">
        <v>63</v>
      </c>
      <c r="O5" s="409">
        <v>541</v>
      </c>
      <c r="P5" s="413">
        <f>M5/O5</f>
        <v>0.21164510166358594</v>
      </c>
      <c r="Q5" s="409">
        <v>111</v>
      </c>
      <c r="R5" s="409">
        <v>209</v>
      </c>
      <c r="S5" s="414">
        <v>6513813</v>
      </c>
      <c r="T5" s="415">
        <f>SUM(U5:V5)</f>
        <v>6513813</v>
      </c>
      <c r="U5" s="414">
        <v>3618484</v>
      </c>
      <c r="V5" s="414">
        <v>2895329</v>
      </c>
      <c r="W5" s="335">
        <f>V5/T5</f>
        <v>0.44449065393802373</v>
      </c>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285"/>
      <c r="EO5" s="285"/>
      <c r="EP5" s="285"/>
      <c r="EQ5" s="285"/>
      <c r="ER5" s="285"/>
      <c r="ES5" s="285"/>
      <c r="ET5" s="285"/>
      <c r="EU5" s="285"/>
      <c r="EV5" s="285"/>
      <c r="EW5" s="285"/>
      <c r="EX5" s="285"/>
      <c r="EY5" s="285"/>
      <c r="EZ5" s="285"/>
      <c r="FA5" s="285"/>
      <c r="FB5" s="285"/>
      <c r="FC5" s="285"/>
      <c r="FD5" s="285"/>
      <c r="FE5" s="285"/>
      <c r="FF5" s="285"/>
      <c r="FG5" s="285"/>
      <c r="FH5" s="285"/>
      <c r="FI5" s="285"/>
      <c r="FJ5" s="285"/>
      <c r="FK5" s="285"/>
      <c r="FL5" s="285"/>
      <c r="FM5" s="285"/>
      <c r="FN5" s="285"/>
      <c r="FO5" s="285"/>
      <c r="FP5" s="285"/>
      <c r="FQ5" s="285"/>
      <c r="FR5" s="285"/>
      <c r="FS5" s="285"/>
      <c r="FT5" s="285"/>
      <c r="FU5" s="285"/>
      <c r="FV5" s="285"/>
      <c r="FW5" s="285"/>
      <c r="FX5" s="285"/>
      <c r="FY5" s="285"/>
      <c r="FZ5" s="285"/>
      <c r="GA5" s="285"/>
      <c r="GB5" s="285"/>
      <c r="GC5" s="285"/>
      <c r="GD5" s="285"/>
      <c r="GE5" s="285"/>
      <c r="GF5" s="285"/>
      <c r="GG5" s="285"/>
      <c r="GH5" s="285"/>
      <c r="GI5" s="285"/>
      <c r="GJ5" s="285"/>
      <c r="GK5" s="285"/>
      <c r="GL5" s="285"/>
      <c r="GM5" s="285"/>
      <c r="GN5" s="285"/>
      <c r="GO5" s="285"/>
      <c r="GP5" s="285"/>
      <c r="GQ5" s="285"/>
      <c r="GR5" s="285"/>
      <c r="GS5" s="285"/>
      <c r="GT5" s="285"/>
      <c r="GU5" s="285"/>
      <c r="GV5" s="285"/>
      <c r="GW5" s="285"/>
      <c r="GX5" s="285"/>
      <c r="GY5" s="285"/>
      <c r="GZ5" s="285"/>
      <c r="HA5" s="285"/>
      <c r="HB5" s="285"/>
      <c r="HC5" s="285"/>
      <c r="HD5" s="285"/>
      <c r="HE5" s="285"/>
      <c r="HF5" s="285"/>
      <c r="HG5" s="285"/>
      <c r="HH5" s="285"/>
      <c r="HI5" s="285"/>
      <c r="HJ5" s="285"/>
      <c r="HK5" s="285"/>
      <c r="HL5" s="285"/>
    </row>
    <row r="6" spans="1:220" s="17" customFormat="1">
      <c r="A6" s="33">
        <v>2018</v>
      </c>
      <c r="B6" s="20">
        <v>29</v>
      </c>
      <c r="C6" s="20">
        <v>5</v>
      </c>
      <c r="D6" s="29">
        <f>SUM(B6:C6)</f>
        <v>34</v>
      </c>
      <c r="E6" s="172">
        <f>ROUND((O6/B6), 0)</f>
        <v>25</v>
      </c>
      <c r="F6" s="172">
        <f>ROUND((O6/D6), 0)</f>
        <v>21</v>
      </c>
      <c r="G6" s="20">
        <v>29</v>
      </c>
      <c r="H6" s="20">
        <v>3</v>
      </c>
      <c r="I6" s="20">
        <v>137</v>
      </c>
      <c r="J6" s="20">
        <v>239</v>
      </c>
      <c r="K6" s="29">
        <f t="shared" ref="K6" si="0">SUM(I6:J6)</f>
        <v>376</v>
      </c>
      <c r="L6" s="20">
        <v>101.59</v>
      </c>
      <c r="M6" s="172">
        <f>(I6+L6)</f>
        <v>238.59</v>
      </c>
      <c r="N6" s="20">
        <v>52</v>
      </c>
      <c r="O6" s="20">
        <v>728</v>
      </c>
      <c r="P6" s="183">
        <f>M6/O6</f>
        <v>0.32773351648351651</v>
      </c>
      <c r="Q6" s="20">
        <v>114</v>
      </c>
      <c r="R6" s="20">
        <v>185</v>
      </c>
      <c r="S6" s="24">
        <v>5279748</v>
      </c>
      <c r="T6" s="30">
        <f>SUM(U6:V6)</f>
        <v>5279748</v>
      </c>
      <c r="U6" s="24">
        <v>3266361</v>
      </c>
      <c r="V6" s="24">
        <v>2013387</v>
      </c>
      <c r="W6" s="185">
        <f>V6/T6</f>
        <v>0.38134149584411986</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33">
        <v>2017</v>
      </c>
      <c r="B7" s="20">
        <v>27</v>
      </c>
      <c r="C7" s="20">
        <v>5</v>
      </c>
      <c r="D7" s="34">
        <f>SUM(B7:C7)</f>
        <v>32</v>
      </c>
      <c r="E7" s="34">
        <f>ROUND((O7/B7), 0)</f>
        <v>25</v>
      </c>
      <c r="F7" s="34">
        <f>ROUND((O7/D7), 0)</f>
        <v>21</v>
      </c>
      <c r="G7" s="20">
        <v>28</v>
      </c>
      <c r="H7" s="20">
        <v>2</v>
      </c>
      <c r="I7" s="20">
        <v>102</v>
      </c>
      <c r="J7" s="20">
        <v>229</v>
      </c>
      <c r="K7" s="34">
        <f>SUM(I7:J7)</f>
        <v>331</v>
      </c>
      <c r="L7" s="20">
        <v>93.4</v>
      </c>
      <c r="M7" s="36">
        <f>(I7+L7)</f>
        <v>195.4</v>
      </c>
      <c r="N7" s="344">
        <v>49</v>
      </c>
      <c r="O7" s="344">
        <v>663</v>
      </c>
      <c r="P7" s="183">
        <f t="shared" ref="P7:P22" si="1">M7/O7</f>
        <v>0.29472096530920061</v>
      </c>
      <c r="Q7" s="20">
        <v>158</v>
      </c>
      <c r="R7" s="20">
        <v>167</v>
      </c>
      <c r="S7" s="300">
        <v>6047233.8600000003</v>
      </c>
      <c r="T7" s="35">
        <f>SUM(U7:V7)</f>
        <v>6047234</v>
      </c>
      <c r="U7" s="341">
        <v>3156826</v>
      </c>
      <c r="V7" s="24">
        <v>2890408</v>
      </c>
      <c r="W7" s="185">
        <f t="shared" ref="W7:W22" si="2">V7/T7</f>
        <v>0.47797191244790593</v>
      </c>
    </row>
    <row r="8" spans="1:220" s="65" customFormat="1">
      <c r="A8" s="95">
        <v>2016</v>
      </c>
      <c r="B8" s="63">
        <v>29</v>
      </c>
      <c r="C8" s="63">
        <v>4</v>
      </c>
      <c r="D8" s="108">
        <f>SUM(B8:C8)</f>
        <v>33</v>
      </c>
      <c r="E8" s="109">
        <f>ROUND((O8/B8), 0)</f>
        <v>21</v>
      </c>
      <c r="F8" s="109">
        <f>ROUND((O8/D8), 0)</f>
        <v>19</v>
      </c>
      <c r="G8" s="83">
        <v>29</v>
      </c>
      <c r="H8" s="83">
        <v>2</v>
      </c>
      <c r="I8" s="63">
        <v>109</v>
      </c>
      <c r="J8" s="63">
        <v>247</v>
      </c>
      <c r="K8" s="108">
        <f>SUM(I8:J8)</f>
        <v>356</v>
      </c>
      <c r="L8" s="63">
        <v>98</v>
      </c>
      <c r="M8" s="109">
        <f>(I8+L8)</f>
        <v>207</v>
      </c>
      <c r="N8" s="63">
        <v>61</v>
      </c>
      <c r="O8" s="155">
        <v>621</v>
      </c>
      <c r="P8" s="183">
        <f t="shared" si="1"/>
        <v>0.33333333333333331</v>
      </c>
      <c r="Q8" s="63">
        <v>105</v>
      </c>
      <c r="R8" s="63">
        <v>136</v>
      </c>
      <c r="S8" s="64">
        <v>6507983</v>
      </c>
      <c r="T8" s="85">
        <f>SUM(U8:V8)</f>
        <v>6507983</v>
      </c>
      <c r="U8" s="64">
        <v>3741115</v>
      </c>
      <c r="V8" s="64">
        <v>2766868</v>
      </c>
      <c r="W8" s="185">
        <f t="shared" si="2"/>
        <v>0.42514985057582355</v>
      </c>
    </row>
    <row r="9" spans="1:220" s="105" customFormat="1">
      <c r="A9" s="95">
        <v>2015</v>
      </c>
      <c r="B9" s="91">
        <v>34</v>
      </c>
      <c r="C9" s="91">
        <v>3</v>
      </c>
      <c r="D9" s="81">
        <v>34</v>
      </c>
      <c r="E9" s="163">
        <v>25.9</v>
      </c>
      <c r="F9" s="163">
        <v>16.7</v>
      </c>
      <c r="G9" s="111"/>
      <c r="H9" s="111"/>
      <c r="I9" s="91">
        <v>96</v>
      </c>
      <c r="J9" s="91">
        <v>270</v>
      </c>
      <c r="K9" s="81">
        <v>367</v>
      </c>
      <c r="L9" s="91">
        <v>129</v>
      </c>
      <c r="M9" s="82">
        <v>225</v>
      </c>
      <c r="N9" s="91">
        <v>58</v>
      </c>
      <c r="O9" s="164">
        <v>570.5</v>
      </c>
      <c r="P9" s="183">
        <f t="shared" si="1"/>
        <v>0.39439088518843118</v>
      </c>
      <c r="Q9" s="91">
        <v>128</v>
      </c>
      <c r="R9" s="91">
        <v>131</v>
      </c>
      <c r="S9" s="102">
        <v>8548110</v>
      </c>
      <c r="T9" s="103">
        <v>8548112</v>
      </c>
      <c r="U9" s="102">
        <v>5151182</v>
      </c>
      <c r="V9" s="102">
        <v>3396930</v>
      </c>
      <c r="W9" s="185">
        <f t="shared" si="2"/>
        <v>0.39738950542529156</v>
      </c>
    </row>
    <row r="10" spans="1:220" s="168" customFormat="1">
      <c r="A10" s="90">
        <v>2014</v>
      </c>
      <c r="B10" s="91">
        <v>34</v>
      </c>
      <c r="C10" s="91">
        <v>0</v>
      </c>
      <c r="D10" s="81">
        <f>B10+C10</f>
        <v>34</v>
      </c>
      <c r="E10" s="82">
        <f>ROUND((O10/B10), 0)</f>
        <v>18</v>
      </c>
      <c r="F10" s="163">
        <v>18</v>
      </c>
      <c r="G10" s="111"/>
      <c r="H10" s="111"/>
      <c r="I10" s="91">
        <v>96</v>
      </c>
      <c r="J10" s="91">
        <v>287</v>
      </c>
      <c r="K10" s="81">
        <v>383</v>
      </c>
      <c r="L10" s="91">
        <v>134</v>
      </c>
      <c r="M10" s="82">
        <v>230</v>
      </c>
      <c r="N10" s="91">
        <v>55</v>
      </c>
      <c r="O10" s="164">
        <v>615.29999999999995</v>
      </c>
      <c r="P10" s="183">
        <f t="shared" si="1"/>
        <v>0.37380139769218268</v>
      </c>
      <c r="Q10" s="91">
        <v>150</v>
      </c>
      <c r="R10" s="91">
        <v>122</v>
      </c>
      <c r="S10" s="92">
        <v>9048428</v>
      </c>
      <c r="T10" s="85">
        <f t="shared" ref="T10:T22" si="3">SUM(U10:V10)</f>
        <v>9048432</v>
      </c>
      <c r="U10" s="92">
        <v>4578527</v>
      </c>
      <c r="V10" s="92">
        <v>4469905</v>
      </c>
      <c r="W10" s="185">
        <f t="shared" si="2"/>
        <v>0.49399774458160267</v>
      </c>
    </row>
    <row r="11" spans="1:220" s="71" customFormat="1">
      <c r="A11" s="90">
        <v>2013</v>
      </c>
      <c r="B11" s="361">
        <v>32</v>
      </c>
      <c r="C11" s="361">
        <v>0.25</v>
      </c>
      <c r="D11" s="108">
        <f>B11+C11</f>
        <v>32.25</v>
      </c>
      <c r="E11" s="212">
        <v>26.6</v>
      </c>
      <c r="F11" s="212">
        <v>17.600000000000001</v>
      </c>
      <c r="G11" s="113"/>
      <c r="H11" s="113"/>
      <c r="I11" s="361">
        <v>108</v>
      </c>
      <c r="J11" s="361">
        <v>258</v>
      </c>
      <c r="K11" s="108">
        <v>367</v>
      </c>
      <c r="L11" s="361">
        <v>139</v>
      </c>
      <c r="M11" s="109">
        <v>247</v>
      </c>
      <c r="N11" s="361">
        <v>17</v>
      </c>
      <c r="O11" s="193">
        <v>601.6</v>
      </c>
      <c r="P11" s="183">
        <f t="shared" si="1"/>
        <v>0.41057180851063829</v>
      </c>
      <c r="Q11" s="361">
        <v>233</v>
      </c>
      <c r="R11" s="361">
        <v>88</v>
      </c>
      <c r="S11" s="112">
        <v>7565905</v>
      </c>
      <c r="T11" s="110">
        <f t="shared" si="3"/>
        <v>7409032</v>
      </c>
      <c r="U11" s="112">
        <v>4244701</v>
      </c>
      <c r="V11" s="112">
        <v>3164331</v>
      </c>
      <c r="W11" s="185">
        <f t="shared" si="2"/>
        <v>0.4270910153985028</v>
      </c>
    </row>
    <row r="12" spans="1:220" s="71" customFormat="1">
      <c r="A12" s="90">
        <v>2012</v>
      </c>
      <c r="B12" s="361">
        <v>32</v>
      </c>
      <c r="C12" s="361">
        <v>0.5</v>
      </c>
      <c r="D12" s="108">
        <f>B12+C12</f>
        <v>32.5</v>
      </c>
      <c r="E12" s="109">
        <f t="shared" ref="E12:E22" si="4">ROUND((O12/B12), 0)</f>
        <v>18</v>
      </c>
      <c r="F12" s="212">
        <v>17.899999999999999</v>
      </c>
      <c r="G12" s="113"/>
      <c r="H12" s="113"/>
      <c r="I12" s="361">
        <v>118</v>
      </c>
      <c r="J12" s="361">
        <v>375</v>
      </c>
      <c r="K12" s="108">
        <f>I12+J12</f>
        <v>493</v>
      </c>
      <c r="L12" s="361">
        <v>143</v>
      </c>
      <c r="M12" s="109">
        <v>261</v>
      </c>
      <c r="N12" s="361">
        <v>34</v>
      </c>
      <c r="O12" s="193">
        <v>574.6</v>
      </c>
      <c r="P12" s="183">
        <f t="shared" si="1"/>
        <v>0.45422902888966238</v>
      </c>
      <c r="Q12" s="361">
        <v>204</v>
      </c>
      <c r="R12" s="361">
        <v>77</v>
      </c>
      <c r="S12" s="112">
        <v>7469915</v>
      </c>
      <c r="T12" s="110">
        <f t="shared" si="3"/>
        <v>7469915</v>
      </c>
      <c r="U12" s="112">
        <v>3415070</v>
      </c>
      <c r="V12" s="112">
        <v>4054845</v>
      </c>
      <c r="W12" s="185">
        <f t="shared" si="2"/>
        <v>0.54282344578218089</v>
      </c>
    </row>
    <row r="13" spans="1:220" s="71" customFormat="1">
      <c r="A13" s="90" t="s">
        <v>81</v>
      </c>
      <c r="B13" s="361">
        <v>34</v>
      </c>
      <c r="C13" s="361">
        <v>1</v>
      </c>
      <c r="D13" s="108">
        <f t="shared" ref="D13:D22" si="5">SUM(B13:C13)</f>
        <v>35</v>
      </c>
      <c r="E13" s="109">
        <f t="shared" si="4"/>
        <v>17</v>
      </c>
      <c r="F13" s="109">
        <f t="shared" ref="F13:F22" si="6">ROUND((O13/D13), 0)</f>
        <v>16</v>
      </c>
      <c r="G13" s="113"/>
      <c r="H13" s="113"/>
      <c r="I13" s="361">
        <v>141</v>
      </c>
      <c r="J13" s="361">
        <v>397</v>
      </c>
      <c r="K13" s="108">
        <f t="shared" ref="K13:K22" si="7">SUM(I13:J13)</f>
        <v>538</v>
      </c>
      <c r="L13" s="361">
        <v>147</v>
      </c>
      <c r="M13" s="109">
        <v>288</v>
      </c>
      <c r="N13" s="361">
        <v>37</v>
      </c>
      <c r="O13" s="193">
        <v>577.01</v>
      </c>
      <c r="P13" s="183">
        <f t="shared" si="1"/>
        <v>0.49912479853035474</v>
      </c>
      <c r="Q13" s="361">
        <v>210</v>
      </c>
      <c r="R13" s="361">
        <v>68</v>
      </c>
      <c r="S13" s="112">
        <v>6257249</v>
      </c>
      <c r="T13" s="110">
        <f t="shared" si="3"/>
        <v>6706053.1800000006</v>
      </c>
      <c r="U13" s="112">
        <v>1647881</v>
      </c>
      <c r="V13" s="112">
        <v>5058172.1800000006</v>
      </c>
      <c r="W13" s="185">
        <f t="shared" si="2"/>
        <v>0.75426961943657</v>
      </c>
    </row>
    <row r="14" spans="1:220" s="71" customFormat="1">
      <c r="A14" s="90" t="s">
        <v>82</v>
      </c>
      <c r="B14" s="361">
        <v>34</v>
      </c>
      <c r="C14" s="361">
        <v>0.5</v>
      </c>
      <c r="D14" s="108">
        <f t="shared" si="5"/>
        <v>34.5</v>
      </c>
      <c r="E14" s="109">
        <f t="shared" si="4"/>
        <v>14</v>
      </c>
      <c r="F14" s="109">
        <f t="shared" si="6"/>
        <v>14</v>
      </c>
      <c r="G14" s="113"/>
      <c r="H14" s="113"/>
      <c r="I14" s="361">
        <v>152</v>
      </c>
      <c r="J14" s="361">
        <v>471</v>
      </c>
      <c r="K14" s="108">
        <f t="shared" si="7"/>
        <v>623</v>
      </c>
      <c r="L14" s="361">
        <v>139</v>
      </c>
      <c r="M14" s="109">
        <f>(I14+L14)</f>
        <v>291</v>
      </c>
      <c r="N14" s="361">
        <v>38</v>
      </c>
      <c r="O14" s="193">
        <v>466.5</v>
      </c>
      <c r="P14" s="183">
        <f t="shared" si="1"/>
        <v>0.6237942122186495</v>
      </c>
      <c r="Q14" s="361">
        <v>207</v>
      </c>
      <c r="R14" s="361">
        <v>68</v>
      </c>
      <c r="S14" s="112">
        <v>5675991.9899999993</v>
      </c>
      <c r="T14" s="110">
        <f t="shared" si="3"/>
        <v>5675992</v>
      </c>
      <c r="U14" s="112">
        <v>1331530</v>
      </c>
      <c r="V14" s="112">
        <v>4344462</v>
      </c>
      <c r="W14" s="185">
        <f t="shared" si="2"/>
        <v>0.76541016971130338</v>
      </c>
    </row>
    <row r="15" spans="1:220" s="71" customFormat="1">
      <c r="A15" s="90" t="s">
        <v>83</v>
      </c>
      <c r="B15" s="361">
        <v>32</v>
      </c>
      <c r="C15" s="361">
        <v>1</v>
      </c>
      <c r="D15" s="108">
        <f t="shared" si="5"/>
        <v>33</v>
      </c>
      <c r="E15" s="109">
        <f t="shared" si="4"/>
        <v>16</v>
      </c>
      <c r="F15" s="109">
        <f t="shared" si="6"/>
        <v>16</v>
      </c>
      <c r="G15" s="113"/>
      <c r="H15" s="113"/>
      <c r="I15" s="361">
        <v>190</v>
      </c>
      <c r="J15" s="361">
        <v>477</v>
      </c>
      <c r="K15" s="108">
        <f t="shared" si="7"/>
        <v>667</v>
      </c>
      <c r="L15" s="361">
        <v>151</v>
      </c>
      <c r="M15" s="109">
        <f>(I15+L15)</f>
        <v>341</v>
      </c>
      <c r="N15" s="361">
        <v>43</v>
      </c>
      <c r="O15" s="193">
        <v>519</v>
      </c>
      <c r="P15" s="183">
        <f t="shared" si="1"/>
        <v>0.65703275529865124</v>
      </c>
      <c r="Q15" s="361">
        <v>195</v>
      </c>
      <c r="R15" s="361">
        <v>42</v>
      </c>
      <c r="S15" s="112">
        <v>5356277.5</v>
      </c>
      <c r="T15" s="110">
        <f t="shared" si="3"/>
        <v>3679069</v>
      </c>
      <c r="U15" s="112">
        <v>1770149</v>
      </c>
      <c r="V15" s="112">
        <v>1908920</v>
      </c>
      <c r="W15" s="185">
        <f t="shared" si="2"/>
        <v>0.51885952669004032</v>
      </c>
    </row>
    <row r="16" spans="1:220" s="71" customFormat="1">
      <c r="A16" s="90" t="s">
        <v>84</v>
      </c>
      <c r="B16" s="361">
        <v>26</v>
      </c>
      <c r="C16" s="361">
        <v>1</v>
      </c>
      <c r="D16" s="108">
        <f t="shared" si="5"/>
        <v>27</v>
      </c>
      <c r="E16" s="109">
        <f t="shared" si="4"/>
        <v>18</v>
      </c>
      <c r="F16" s="109">
        <f t="shared" si="6"/>
        <v>17</v>
      </c>
      <c r="G16" s="113"/>
      <c r="H16" s="113"/>
      <c r="I16" s="361">
        <v>160</v>
      </c>
      <c r="J16" s="361">
        <v>394</v>
      </c>
      <c r="K16" s="108">
        <f t="shared" si="7"/>
        <v>554</v>
      </c>
      <c r="L16" s="361">
        <v>155.19999999999999</v>
      </c>
      <c r="M16" s="109">
        <f>(I16+L16)</f>
        <v>315.2</v>
      </c>
      <c r="N16" s="361">
        <v>36</v>
      </c>
      <c r="O16" s="193">
        <v>466</v>
      </c>
      <c r="P16" s="183">
        <f t="shared" si="1"/>
        <v>0.67639484978540765</v>
      </c>
      <c r="Q16" s="361">
        <v>166</v>
      </c>
      <c r="R16" s="361">
        <v>31</v>
      </c>
      <c r="S16" s="112">
        <v>4695372</v>
      </c>
      <c r="T16" s="110">
        <f t="shared" si="3"/>
        <v>4695372</v>
      </c>
      <c r="U16" s="112">
        <v>2037314</v>
      </c>
      <c r="V16" s="112">
        <v>2658058</v>
      </c>
      <c r="W16" s="185">
        <f t="shared" si="2"/>
        <v>0.56610168480793432</v>
      </c>
    </row>
    <row r="17" spans="1:25" s="71" customFormat="1">
      <c r="A17" s="90">
        <v>2007</v>
      </c>
      <c r="B17" s="361">
        <v>24</v>
      </c>
      <c r="C17" s="361">
        <v>1</v>
      </c>
      <c r="D17" s="194">
        <f t="shared" si="5"/>
        <v>25</v>
      </c>
      <c r="E17" s="109">
        <f t="shared" si="4"/>
        <v>20</v>
      </c>
      <c r="F17" s="109">
        <f t="shared" si="6"/>
        <v>19</v>
      </c>
      <c r="G17" s="113"/>
      <c r="H17" s="113"/>
      <c r="I17" s="361">
        <v>145</v>
      </c>
      <c r="J17" s="361">
        <v>392</v>
      </c>
      <c r="K17" s="194">
        <f t="shared" si="7"/>
        <v>537</v>
      </c>
      <c r="L17" s="361">
        <v>175.2</v>
      </c>
      <c r="M17" s="109">
        <v>320</v>
      </c>
      <c r="N17" s="361">
        <v>42</v>
      </c>
      <c r="O17" s="193">
        <v>476</v>
      </c>
      <c r="P17" s="183">
        <f t="shared" si="1"/>
        <v>0.67226890756302526</v>
      </c>
      <c r="Q17" s="361">
        <v>128</v>
      </c>
      <c r="R17" s="361">
        <v>52</v>
      </c>
      <c r="S17" s="192">
        <v>4307626</v>
      </c>
      <c r="T17" s="110">
        <f t="shared" si="3"/>
        <v>4307626</v>
      </c>
      <c r="U17" s="192">
        <v>1852739</v>
      </c>
      <c r="V17" s="192">
        <v>2454887</v>
      </c>
      <c r="W17" s="185">
        <f t="shared" si="2"/>
        <v>0.56989325442830918</v>
      </c>
      <c r="Y17" s="334"/>
    </row>
    <row r="18" spans="1:25" s="71" customFormat="1">
      <c r="A18" s="90">
        <v>2006</v>
      </c>
      <c r="B18" s="361">
        <v>19</v>
      </c>
      <c r="C18" s="361">
        <v>9</v>
      </c>
      <c r="D18" s="194">
        <f t="shared" si="5"/>
        <v>28</v>
      </c>
      <c r="E18" s="109">
        <f t="shared" si="4"/>
        <v>18</v>
      </c>
      <c r="F18" s="109">
        <f t="shared" si="6"/>
        <v>12</v>
      </c>
      <c r="G18" s="113"/>
      <c r="H18" s="113"/>
      <c r="I18" s="361">
        <v>133</v>
      </c>
      <c r="J18" s="361">
        <v>390</v>
      </c>
      <c r="K18" s="194">
        <f t="shared" si="7"/>
        <v>523</v>
      </c>
      <c r="L18" s="361">
        <v>173</v>
      </c>
      <c r="M18" s="109">
        <f>(I18+L18)</f>
        <v>306</v>
      </c>
      <c r="N18" s="361">
        <v>40</v>
      </c>
      <c r="O18" s="193">
        <v>338</v>
      </c>
      <c r="P18" s="183">
        <f t="shared" si="1"/>
        <v>0.90532544378698221</v>
      </c>
      <c r="Q18" s="361">
        <v>122</v>
      </c>
      <c r="R18" s="361">
        <v>32</v>
      </c>
      <c r="S18" s="192">
        <v>3307544</v>
      </c>
      <c r="T18" s="110">
        <f t="shared" si="3"/>
        <v>3319667</v>
      </c>
      <c r="U18" s="192">
        <v>1273656</v>
      </c>
      <c r="V18" s="192">
        <v>2046011</v>
      </c>
      <c r="W18" s="185">
        <f t="shared" si="2"/>
        <v>0.61633019215481555</v>
      </c>
      <c r="Y18" s="334"/>
    </row>
    <row r="19" spans="1:25" s="71" customFormat="1">
      <c r="A19" s="90">
        <v>2005</v>
      </c>
      <c r="B19" s="361">
        <v>18</v>
      </c>
      <c r="C19" s="361">
        <v>10</v>
      </c>
      <c r="D19" s="194">
        <f t="shared" si="5"/>
        <v>28</v>
      </c>
      <c r="E19" s="109">
        <f t="shared" si="4"/>
        <v>20</v>
      </c>
      <c r="F19" s="109">
        <f t="shared" si="6"/>
        <v>13</v>
      </c>
      <c r="G19" s="113"/>
      <c r="H19" s="113"/>
      <c r="I19" s="361">
        <v>54</v>
      </c>
      <c r="J19" s="361">
        <v>374</v>
      </c>
      <c r="K19" s="194">
        <f t="shared" si="7"/>
        <v>428</v>
      </c>
      <c r="L19" s="361">
        <v>151</v>
      </c>
      <c r="M19" s="109">
        <f>(I19+L19)</f>
        <v>205</v>
      </c>
      <c r="N19" s="361">
        <v>9</v>
      </c>
      <c r="O19" s="193">
        <v>353.4</v>
      </c>
      <c r="P19" s="183">
        <f t="shared" si="1"/>
        <v>0.5800792303338993</v>
      </c>
      <c r="Q19" s="361">
        <v>105</v>
      </c>
      <c r="R19" s="361">
        <v>47</v>
      </c>
      <c r="S19" s="192">
        <v>2861462</v>
      </c>
      <c r="T19" s="110">
        <f t="shared" si="3"/>
        <v>2861462</v>
      </c>
      <c r="U19" s="192">
        <v>1217880</v>
      </c>
      <c r="V19" s="192">
        <v>1643582</v>
      </c>
      <c r="W19" s="185">
        <f t="shared" si="2"/>
        <v>0.57438540158841878</v>
      </c>
      <c r="Y19" s="334"/>
    </row>
    <row r="20" spans="1:25" s="71" customFormat="1">
      <c r="A20" s="90">
        <v>2004</v>
      </c>
      <c r="B20" s="195">
        <v>18</v>
      </c>
      <c r="C20" s="195">
        <v>4</v>
      </c>
      <c r="D20" s="194">
        <f t="shared" si="5"/>
        <v>22</v>
      </c>
      <c r="E20" s="109">
        <f t="shared" si="4"/>
        <v>19</v>
      </c>
      <c r="F20" s="109">
        <f t="shared" si="6"/>
        <v>16</v>
      </c>
      <c r="G20" s="113"/>
      <c r="H20" s="113"/>
      <c r="I20" s="195">
        <v>85</v>
      </c>
      <c r="J20" s="195">
        <v>243</v>
      </c>
      <c r="K20" s="194">
        <f t="shared" si="7"/>
        <v>328</v>
      </c>
      <c r="L20" s="195">
        <v>130</v>
      </c>
      <c r="M20" s="109">
        <f>(I20+L20)</f>
        <v>215</v>
      </c>
      <c r="N20" s="195">
        <v>6</v>
      </c>
      <c r="O20" s="193">
        <v>347</v>
      </c>
      <c r="P20" s="183">
        <f t="shared" si="1"/>
        <v>0.6195965417867435</v>
      </c>
      <c r="Q20" s="195">
        <v>128</v>
      </c>
      <c r="R20" s="361">
        <v>37</v>
      </c>
      <c r="S20" s="192">
        <v>2877541</v>
      </c>
      <c r="T20" s="110">
        <f t="shared" si="3"/>
        <v>2877541</v>
      </c>
      <c r="U20" s="192">
        <v>1553678</v>
      </c>
      <c r="V20" s="192">
        <v>1323863</v>
      </c>
      <c r="W20" s="185">
        <f t="shared" si="2"/>
        <v>0.46006746732713799</v>
      </c>
    </row>
    <row r="21" spans="1:25" s="71" customFormat="1">
      <c r="A21" s="90">
        <v>2003</v>
      </c>
      <c r="B21" s="195">
        <v>15</v>
      </c>
      <c r="C21" s="195">
        <v>3</v>
      </c>
      <c r="D21" s="194">
        <f t="shared" si="5"/>
        <v>18</v>
      </c>
      <c r="E21" s="109">
        <f t="shared" si="4"/>
        <v>22</v>
      </c>
      <c r="F21" s="109">
        <f t="shared" si="6"/>
        <v>18</v>
      </c>
      <c r="G21" s="113"/>
      <c r="H21" s="113"/>
      <c r="I21" s="195">
        <v>68</v>
      </c>
      <c r="J21" s="195">
        <v>233</v>
      </c>
      <c r="K21" s="194">
        <f t="shared" si="7"/>
        <v>301</v>
      </c>
      <c r="L21" s="195">
        <v>125</v>
      </c>
      <c r="M21" s="109">
        <f>(I21+L21)</f>
        <v>193</v>
      </c>
      <c r="N21" s="195">
        <v>21</v>
      </c>
      <c r="O21" s="193">
        <v>331</v>
      </c>
      <c r="P21" s="183">
        <f t="shared" si="1"/>
        <v>0.58308157099697888</v>
      </c>
      <c r="Q21" s="195">
        <v>122</v>
      </c>
      <c r="R21" s="361">
        <v>47</v>
      </c>
      <c r="S21" s="192">
        <v>2018737</v>
      </c>
      <c r="T21" s="110">
        <f t="shared" si="3"/>
        <v>2386574</v>
      </c>
      <c r="U21" s="192">
        <v>1291417</v>
      </c>
      <c r="V21" s="192">
        <v>1095157</v>
      </c>
      <c r="W21" s="185">
        <f t="shared" si="2"/>
        <v>0.45888248174998975</v>
      </c>
    </row>
    <row r="22" spans="1:25" s="71" customFormat="1">
      <c r="A22" s="90" t="s">
        <v>103</v>
      </c>
      <c r="B22" s="195">
        <v>13</v>
      </c>
      <c r="C22" s="195">
        <f>ROUND(5.1, 0)</f>
        <v>5</v>
      </c>
      <c r="D22" s="194">
        <f t="shared" si="5"/>
        <v>18</v>
      </c>
      <c r="E22" s="109">
        <f t="shared" si="4"/>
        <v>23</v>
      </c>
      <c r="F22" s="109">
        <f t="shared" si="6"/>
        <v>16</v>
      </c>
      <c r="G22" s="113"/>
      <c r="H22" s="113"/>
      <c r="I22" s="195">
        <v>83</v>
      </c>
      <c r="J22" s="195">
        <v>227</v>
      </c>
      <c r="K22" s="194">
        <f t="shared" si="7"/>
        <v>310</v>
      </c>
      <c r="L22" s="195">
        <v>84</v>
      </c>
      <c r="M22" s="109">
        <f>(I22+L22)</f>
        <v>167</v>
      </c>
      <c r="N22" s="195">
        <v>15</v>
      </c>
      <c r="O22" s="193">
        <v>294</v>
      </c>
      <c r="P22" s="183">
        <f t="shared" si="1"/>
        <v>0.56802721088435371</v>
      </c>
      <c r="Q22" s="195">
        <v>98</v>
      </c>
      <c r="R22" s="361">
        <v>28</v>
      </c>
      <c r="S22" s="192">
        <v>1765613</v>
      </c>
      <c r="T22" s="110">
        <f t="shared" si="3"/>
        <v>2138804</v>
      </c>
      <c r="U22" s="192">
        <v>1566791</v>
      </c>
      <c r="V22" s="192">
        <v>572013</v>
      </c>
      <c r="W22" s="185">
        <f t="shared" si="2"/>
        <v>0.26744526380163869</v>
      </c>
    </row>
    <row r="23" spans="1:25" s="14" customFormat="1">
      <c r="G23"/>
      <c r="H23"/>
    </row>
    <row r="24" spans="1:25" s="14" customFormat="1">
      <c r="G24"/>
      <c r="H24"/>
    </row>
    <row r="25" spans="1:25" s="14" customFormat="1">
      <c r="G25"/>
      <c r="H25"/>
    </row>
    <row r="26" spans="1:25" s="14" customFormat="1">
      <c r="G26"/>
      <c r="H26"/>
    </row>
    <row r="27" spans="1:25" s="14" customFormat="1">
      <c r="G27"/>
      <c r="H27"/>
    </row>
    <row r="28" spans="1:25" s="14" customFormat="1">
      <c r="G28"/>
      <c r="H28"/>
    </row>
    <row r="29" spans="1:25" s="14" customFormat="1">
      <c r="G29"/>
      <c r="H29"/>
    </row>
    <row r="30" spans="1:25" s="14" customFormat="1">
      <c r="G30"/>
      <c r="H30"/>
    </row>
    <row r="31" spans="1:25" s="14" customFormat="1">
      <c r="G31"/>
      <c r="H31"/>
    </row>
    <row r="32" spans="1:25" s="14" customFormat="1">
      <c r="G32"/>
      <c r="H32"/>
    </row>
  </sheetData>
  <printOptions headings="1" gridLines="1"/>
  <pageMargins left="0.5" right="0.5" top="0.5" bottom="0.5" header="0" footer="0"/>
  <pageSetup paperSize="5" scale="66" orientation="landscape"/>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L33"/>
  <sheetViews>
    <sheetView workbookViewId="0">
      <selection activeCell="I29" sqref="I29"/>
    </sheetView>
  </sheetViews>
  <sheetFormatPr defaultColWidth="8.7109375" defaultRowHeight="15"/>
  <cols>
    <col min="1" max="1" width="10" style="77" customWidth="1"/>
    <col min="2" max="2" width="8.140625" style="77" customWidth="1"/>
    <col min="3" max="3" width="8.42578125" style="77" bestFit="1" customWidth="1"/>
    <col min="4" max="4" width="9.28515625" style="77" bestFit="1" customWidth="1"/>
    <col min="5" max="5" width="12.28515625" style="77" bestFit="1" customWidth="1"/>
    <col min="6" max="6" width="11.42578125" style="77" bestFit="1" customWidth="1"/>
    <col min="7" max="8" width="12.140625" style="77" customWidth="1"/>
    <col min="9" max="9" width="8.7109375" style="77" bestFit="1" customWidth="1"/>
    <col min="10" max="11" width="11.7109375" style="77" bestFit="1" customWidth="1"/>
    <col min="12" max="12" width="12.28515625" style="77" bestFit="1" customWidth="1"/>
    <col min="13" max="13" width="13.140625" style="77" bestFit="1" customWidth="1"/>
    <col min="14" max="14" width="11" style="77" customWidth="1"/>
    <col min="15" max="15" width="13.42578125" style="77" bestFit="1" customWidth="1"/>
    <col min="16" max="16" width="14.28515625" style="77" customWidth="1"/>
    <col min="17" max="17" width="12.42578125" style="77" bestFit="1" customWidth="1"/>
    <col min="18" max="18" width="9" style="77" bestFit="1" customWidth="1"/>
    <col min="19" max="19" width="11.7109375" style="77" bestFit="1" customWidth="1"/>
    <col min="20" max="20" width="12.7109375" style="77" bestFit="1" customWidth="1"/>
    <col min="21" max="21" width="10.42578125" style="77" bestFit="1" customWidth="1"/>
    <col min="22" max="22" width="10.7109375" style="77" bestFit="1" customWidth="1"/>
    <col min="23" max="23" width="12.7109375" style="77" bestFit="1" customWidth="1"/>
    <col min="24" max="99" width="8.7109375" style="214"/>
    <col min="100" max="16384" width="8.7109375" style="77"/>
  </cols>
  <sheetData>
    <row r="1" spans="1:220" s="1" customFormat="1" ht="18.75">
      <c r="A1" s="1" t="s">
        <v>4</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row>
    <row r="3" spans="1:220" customFormat="1">
      <c r="A3" s="11">
        <v>2021</v>
      </c>
      <c r="B3" s="409">
        <v>10</v>
      </c>
      <c r="C3" s="409">
        <v>5</v>
      </c>
      <c r="D3" s="410">
        <f t="shared" ref="D3" si="0">SUM(B3:C3)</f>
        <v>15</v>
      </c>
      <c r="E3" s="411">
        <f t="shared" ref="E3" si="1">ROUND((O3/B3), 0)</f>
        <v>20</v>
      </c>
      <c r="F3" s="411">
        <f t="shared" ref="F3" si="2">ROUND((O3/D3), 0)</f>
        <v>13</v>
      </c>
      <c r="G3" s="409">
        <v>10</v>
      </c>
      <c r="H3" s="409">
        <v>5</v>
      </c>
      <c r="I3" s="409">
        <v>25</v>
      </c>
      <c r="J3" s="409">
        <v>324</v>
      </c>
      <c r="K3" s="410">
        <f t="shared" ref="K3" si="3">SUM(I3:J3)</f>
        <v>349</v>
      </c>
      <c r="L3" s="409">
        <v>157</v>
      </c>
      <c r="M3" s="411">
        <f>(I3+L3)</f>
        <v>182</v>
      </c>
      <c r="N3" s="409">
        <v>36</v>
      </c>
      <c r="O3" s="409">
        <v>199</v>
      </c>
      <c r="P3" s="413">
        <f>M3/O3</f>
        <v>0.914572864321608</v>
      </c>
      <c r="Q3" s="409">
        <v>93</v>
      </c>
      <c r="R3" s="409">
        <v>0</v>
      </c>
      <c r="S3" s="414">
        <v>1595234</v>
      </c>
      <c r="T3" s="415">
        <f t="shared" ref="T3" si="4">SUM(U3:V3)</f>
        <v>1720051</v>
      </c>
      <c r="U3" s="414">
        <v>1536653</v>
      </c>
      <c r="V3" s="504">
        <v>183398</v>
      </c>
      <c r="W3" s="335">
        <f>V3/U3</f>
        <v>0.11934900071779381</v>
      </c>
    </row>
    <row r="4" spans="1:220" customFormat="1">
      <c r="A4" s="11">
        <v>2020</v>
      </c>
      <c r="B4" s="409">
        <v>9</v>
      </c>
      <c r="C4" s="409">
        <v>4.25</v>
      </c>
      <c r="D4" s="410">
        <f>SUM(B4:C4)</f>
        <v>13.25</v>
      </c>
      <c r="E4" s="411">
        <f>ROUND((O4/B4), 0)</f>
        <v>20</v>
      </c>
      <c r="F4" s="411">
        <f>ROUND((O4/D4), 0)</f>
        <v>14</v>
      </c>
      <c r="G4" s="409">
        <v>9</v>
      </c>
      <c r="H4" s="409">
        <v>4.25</v>
      </c>
      <c r="I4" s="409">
        <v>45</v>
      </c>
      <c r="J4" s="409">
        <v>273</v>
      </c>
      <c r="K4" s="410">
        <f t="shared" ref="K4" si="5">SUM(I4:J4)</f>
        <v>318</v>
      </c>
      <c r="L4" s="409">
        <v>129.4</v>
      </c>
      <c r="M4" s="411">
        <f>(I4+L4)</f>
        <v>174.4</v>
      </c>
      <c r="N4" s="409">
        <v>16</v>
      </c>
      <c r="O4" s="409">
        <v>183.75</v>
      </c>
      <c r="P4" s="413">
        <f>M4/O4</f>
        <v>0.94911564625850342</v>
      </c>
      <c r="Q4" s="409">
        <v>62</v>
      </c>
      <c r="R4" s="409">
        <v>0</v>
      </c>
      <c r="S4" s="414">
        <v>1699917.41</v>
      </c>
      <c r="T4" s="415">
        <f>SUM(U4:V4)</f>
        <v>1443423.42</v>
      </c>
      <c r="U4" s="414">
        <v>1344448</v>
      </c>
      <c r="V4" s="504">
        <v>98975.42</v>
      </c>
      <c r="W4" s="335">
        <f>V4/U4</f>
        <v>7.3617886299804827E-2</v>
      </c>
    </row>
    <row r="5" spans="1:220" customFormat="1">
      <c r="A5" s="11">
        <v>2019</v>
      </c>
      <c r="B5" s="409">
        <v>9</v>
      </c>
      <c r="C5" s="409">
        <v>1.5</v>
      </c>
      <c r="D5" s="410">
        <f>SUM(B5:C5)</f>
        <v>10.5</v>
      </c>
      <c r="E5" s="411">
        <f>ROUND((O5/B5), 0)</f>
        <v>16</v>
      </c>
      <c r="F5" s="411">
        <f>ROUND((O5/D5), 0)</f>
        <v>14</v>
      </c>
      <c r="G5" s="409">
        <v>9</v>
      </c>
      <c r="H5" s="409">
        <v>1.5</v>
      </c>
      <c r="I5" s="409">
        <v>33</v>
      </c>
      <c r="J5" s="409">
        <v>215</v>
      </c>
      <c r="K5" s="410">
        <f t="shared" ref="K5" si="6">SUM(I5:J5)</f>
        <v>248</v>
      </c>
      <c r="L5" s="409">
        <v>104.75</v>
      </c>
      <c r="M5" s="411">
        <f>(I5+L5)</f>
        <v>137.75</v>
      </c>
      <c r="N5" s="409">
        <v>18</v>
      </c>
      <c r="O5" s="409">
        <v>146</v>
      </c>
      <c r="P5" s="413">
        <f>M5/O5</f>
        <v>0.94349315068493156</v>
      </c>
      <c r="Q5" s="409">
        <v>79</v>
      </c>
      <c r="R5" s="409">
        <v>0</v>
      </c>
      <c r="S5" s="414">
        <v>1493050</v>
      </c>
      <c r="T5" s="415">
        <f>SUM(U5:V5)</f>
        <v>1493250</v>
      </c>
      <c r="U5" s="414">
        <v>1375984</v>
      </c>
      <c r="V5" s="414">
        <v>117266</v>
      </c>
      <c r="W5" s="335">
        <f>V5/U5</f>
        <v>8.5223374690403378E-2</v>
      </c>
    </row>
    <row r="6" spans="1:220" s="17" customFormat="1">
      <c r="A6" s="33">
        <v>2018</v>
      </c>
      <c r="B6" s="20">
        <v>9</v>
      </c>
      <c r="C6" s="20">
        <v>1.5</v>
      </c>
      <c r="D6" s="29">
        <f>SUM(B6:C6)</f>
        <v>10.5</v>
      </c>
      <c r="E6" s="172">
        <f>ROUND((O6/B6), 0)</f>
        <v>14</v>
      </c>
      <c r="F6" s="172">
        <f>ROUND((O6/D6), 0)</f>
        <v>12</v>
      </c>
      <c r="G6" s="20">
        <v>9</v>
      </c>
      <c r="H6" s="20">
        <v>1.5</v>
      </c>
      <c r="I6" s="20">
        <v>33</v>
      </c>
      <c r="J6" s="20">
        <v>174</v>
      </c>
      <c r="K6" s="29">
        <f t="shared" ref="K6" si="7">SUM(I6:J6)</f>
        <v>207</v>
      </c>
      <c r="L6" s="20">
        <v>86.25</v>
      </c>
      <c r="M6" s="172">
        <f>(I6+L6)</f>
        <v>119.25</v>
      </c>
      <c r="N6" s="20">
        <v>15</v>
      </c>
      <c r="O6" s="20">
        <v>126.5</v>
      </c>
      <c r="P6" s="183">
        <f>M6/O6</f>
        <v>0.94268774703557312</v>
      </c>
      <c r="Q6" s="20">
        <v>70</v>
      </c>
      <c r="R6" s="20">
        <v>2</v>
      </c>
      <c r="S6" s="24">
        <v>1418955</v>
      </c>
      <c r="T6" s="30">
        <f>SUM(U6:V6)</f>
        <v>1421724</v>
      </c>
      <c r="U6" s="24">
        <v>1311478</v>
      </c>
      <c r="V6" s="24">
        <v>110246</v>
      </c>
      <c r="W6" s="185">
        <f>V6/T6</f>
        <v>7.7543883341633119E-2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7" customFormat="1">
      <c r="A7" s="33">
        <v>2017</v>
      </c>
      <c r="B7" s="20">
        <v>10</v>
      </c>
      <c r="C7" s="20">
        <v>2.25</v>
      </c>
      <c r="D7" s="187">
        <f>SUM(B7:C7)</f>
        <v>12.25</v>
      </c>
      <c r="E7" s="16">
        <f>ROUND((O7/B7), 0)</f>
        <v>13</v>
      </c>
      <c r="F7" s="16">
        <f>ROUND((O7/D7), 0)</f>
        <v>10</v>
      </c>
      <c r="G7" s="20">
        <v>10</v>
      </c>
      <c r="H7" s="20">
        <v>2.25</v>
      </c>
      <c r="I7" s="20">
        <v>42</v>
      </c>
      <c r="J7" s="20">
        <v>161</v>
      </c>
      <c r="K7" s="187">
        <f>I7+J7</f>
        <v>203</v>
      </c>
      <c r="L7" s="20">
        <v>83</v>
      </c>
      <c r="M7" s="211">
        <f>I7+L7</f>
        <v>125</v>
      </c>
      <c r="N7" s="20">
        <v>14</v>
      </c>
      <c r="O7" s="20">
        <v>128.25</v>
      </c>
      <c r="P7" s="183">
        <f t="shared" ref="P7:P22" si="8">M7/O7</f>
        <v>0.97465886939571145</v>
      </c>
      <c r="Q7" s="20">
        <v>62</v>
      </c>
      <c r="R7" s="20">
        <v>1</v>
      </c>
      <c r="S7" s="21">
        <v>1987450.93</v>
      </c>
      <c r="T7" s="188">
        <f>SUM(U7:V7)</f>
        <v>2042819.74</v>
      </c>
      <c r="U7" s="21">
        <v>1933821.74</v>
      </c>
      <c r="V7" s="21">
        <v>108998</v>
      </c>
      <c r="W7" s="185">
        <f t="shared" ref="W7:W22" si="9">V7/T7</f>
        <v>5.3356641247259536E-2</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row>
    <row r="8" spans="1:220" s="75" customFormat="1">
      <c r="A8" s="95">
        <v>2016</v>
      </c>
      <c r="B8" s="63">
        <v>11</v>
      </c>
      <c r="C8" s="63">
        <v>1.25</v>
      </c>
      <c r="D8" s="81">
        <f>SUM(B8:C8)</f>
        <v>12.25</v>
      </c>
      <c r="E8" s="82">
        <f>ROUND((O8/B8), 0)</f>
        <v>11</v>
      </c>
      <c r="F8" s="82">
        <f>ROUND((O8/D8), 0)</f>
        <v>9</v>
      </c>
      <c r="G8" s="63">
        <v>11</v>
      </c>
      <c r="H8" s="63">
        <v>1.25</v>
      </c>
      <c r="I8" s="63">
        <v>30</v>
      </c>
      <c r="J8" s="63">
        <v>142</v>
      </c>
      <c r="K8" s="81">
        <f>I8+J8</f>
        <v>172</v>
      </c>
      <c r="L8" s="63">
        <v>70.25</v>
      </c>
      <c r="M8" s="163">
        <f>I8+L8</f>
        <v>100.25</v>
      </c>
      <c r="N8" s="63">
        <v>14</v>
      </c>
      <c r="O8" s="63">
        <v>115.75</v>
      </c>
      <c r="P8" s="183">
        <f t="shared" si="8"/>
        <v>0.86609071274298055</v>
      </c>
      <c r="Q8" s="63">
        <v>81</v>
      </c>
      <c r="R8" s="63">
        <v>0</v>
      </c>
      <c r="S8" s="69">
        <v>1997651</v>
      </c>
      <c r="T8" s="85">
        <f>SUM(U8:V8)</f>
        <v>2017833</v>
      </c>
      <c r="U8" s="69">
        <v>1924570</v>
      </c>
      <c r="V8" s="69">
        <v>93263</v>
      </c>
      <c r="W8" s="185">
        <f t="shared" si="9"/>
        <v>4.6219384854940919E-2</v>
      </c>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row>
    <row r="9" spans="1:220" s="105" customFormat="1">
      <c r="A9" s="90">
        <v>2015</v>
      </c>
      <c r="B9" s="91">
        <v>11</v>
      </c>
      <c r="C9" s="91">
        <v>4</v>
      </c>
      <c r="D9" s="81">
        <v>15</v>
      </c>
      <c r="E9" s="81">
        <v>13.4</v>
      </c>
      <c r="F9" s="81">
        <v>9.8000000000000007</v>
      </c>
      <c r="G9" s="111"/>
      <c r="H9" s="111"/>
      <c r="I9" s="91">
        <v>42</v>
      </c>
      <c r="J9" s="91">
        <v>159</v>
      </c>
      <c r="K9" s="81">
        <v>201</v>
      </c>
      <c r="L9" s="91">
        <v>105</v>
      </c>
      <c r="M9" s="81">
        <v>146.75</v>
      </c>
      <c r="N9" s="91">
        <v>25</v>
      </c>
      <c r="O9" s="91">
        <v>147</v>
      </c>
      <c r="P9" s="183">
        <f t="shared" si="8"/>
        <v>0.99829931972789121</v>
      </c>
      <c r="Q9" s="91">
        <v>68</v>
      </c>
      <c r="R9" s="91">
        <v>2</v>
      </c>
      <c r="S9" s="102">
        <v>2054533</v>
      </c>
      <c r="T9" s="103">
        <v>1318741</v>
      </c>
      <c r="U9" s="102">
        <v>1169651</v>
      </c>
      <c r="V9" s="102">
        <v>149090</v>
      </c>
      <c r="W9" s="185">
        <f t="shared" si="9"/>
        <v>0.11305479999484357</v>
      </c>
    </row>
    <row r="10" spans="1:220" s="168" customFormat="1">
      <c r="A10" s="90">
        <v>2014</v>
      </c>
      <c r="B10" s="91">
        <v>11</v>
      </c>
      <c r="C10" s="91">
        <v>4</v>
      </c>
      <c r="D10" s="81">
        <f t="shared" ref="D10:D22" si="10">SUM(B10:C10)</f>
        <v>15</v>
      </c>
      <c r="E10" s="82">
        <f t="shared" ref="E10:E22" si="11">ROUND((O10/B10), 0)</f>
        <v>16</v>
      </c>
      <c r="F10" s="82">
        <f t="shared" ref="F10:F22" si="12">ROUND((O10/D10), 0)</f>
        <v>12</v>
      </c>
      <c r="G10" s="111"/>
      <c r="H10" s="111"/>
      <c r="I10" s="91">
        <v>103</v>
      </c>
      <c r="J10" s="91">
        <v>110</v>
      </c>
      <c r="K10" s="81">
        <f>I10+J10</f>
        <v>213</v>
      </c>
      <c r="L10" s="91">
        <v>73.7</v>
      </c>
      <c r="M10" s="163">
        <f>I10+L10</f>
        <v>176.7</v>
      </c>
      <c r="N10" s="91">
        <v>16</v>
      </c>
      <c r="O10" s="91">
        <v>180</v>
      </c>
      <c r="P10" s="183">
        <f t="shared" si="8"/>
        <v>0.98166666666666658</v>
      </c>
      <c r="Q10" s="91">
        <v>87</v>
      </c>
      <c r="R10" s="91">
        <v>1</v>
      </c>
      <c r="S10" s="92">
        <v>1823705</v>
      </c>
      <c r="T10" s="85">
        <f t="shared" ref="T10:T22" si="13">SUM(U10:V10)</f>
        <v>1823705</v>
      </c>
      <c r="U10" s="92">
        <v>1643371</v>
      </c>
      <c r="V10" s="92">
        <v>180334</v>
      </c>
      <c r="W10" s="185">
        <f t="shared" si="9"/>
        <v>9.888331720316608E-2</v>
      </c>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row>
    <row r="11" spans="1:220" s="168" customFormat="1">
      <c r="A11" s="95" t="s">
        <v>80</v>
      </c>
      <c r="B11" s="91">
        <v>11</v>
      </c>
      <c r="C11" s="91">
        <v>5</v>
      </c>
      <c r="D11" s="81">
        <f t="shared" si="10"/>
        <v>16</v>
      </c>
      <c r="E11" s="82">
        <f t="shared" si="11"/>
        <v>14</v>
      </c>
      <c r="F11" s="82">
        <f t="shared" si="12"/>
        <v>10</v>
      </c>
      <c r="G11" s="113"/>
      <c r="H11" s="113"/>
      <c r="I11" s="91">
        <v>60</v>
      </c>
      <c r="J11" s="91">
        <v>139</v>
      </c>
      <c r="K11" s="81">
        <f>I11+J11</f>
        <v>199</v>
      </c>
      <c r="L11" s="91">
        <v>93.13</v>
      </c>
      <c r="M11" s="163">
        <v>153.13</v>
      </c>
      <c r="N11" s="91">
        <v>17</v>
      </c>
      <c r="O11" s="91">
        <v>156.81</v>
      </c>
      <c r="P11" s="183">
        <f t="shared" si="8"/>
        <v>0.9765321089216249</v>
      </c>
      <c r="Q11" s="91">
        <v>77</v>
      </c>
      <c r="R11" s="91">
        <v>0</v>
      </c>
      <c r="S11" s="92">
        <v>1906364</v>
      </c>
      <c r="T11" s="85">
        <f t="shared" si="13"/>
        <v>1974234</v>
      </c>
      <c r="U11" s="92">
        <v>968422</v>
      </c>
      <c r="V11" s="92">
        <v>1005812</v>
      </c>
      <c r="W11" s="185">
        <f t="shared" si="9"/>
        <v>0.50946949551066389</v>
      </c>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row>
    <row r="12" spans="1:220" s="168" customFormat="1">
      <c r="A12" s="90" t="s">
        <v>86</v>
      </c>
      <c r="B12" s="91">
        <v>11</v>
      </c>
      <c r="C12" s="91">
        <v>6</v>
      </c>
      <c r="D12" s="81">
        <f t="shared" si="10"/>
        <v>17</v>
      </c>
      <c r="E12" s="82">
        <f t="shared" si="11"/>
        <v>20</v>
      </c>
      <c r="F12" s="82">
        <f t="shared" si="12"/>
        <v>13</v>
      </c>
      <c r="G12" s="113"/>
      <c r="H12" s="113"/>
      <c r="I12" s="91">
        <v>108</v>
      </c>
      <c r="J12" s="91">
        <v>150</v>
      </c>
      <c r="K12" s="81">
        <f>I12+J12</f>
        <v>258</v>
      </c>
      <c r="L12" s="91">
        <v>100</v>
      </c>
      <c r="M12" s="163">
        <f>I12+L12</f>
        <v>208</v>
      </c>
      <c r="N12" s="91">
        <v>22</v>
      </c>
      <c r="O12" s="91">
        <v>217.25</v>
      </c>
      <c r="P12" s="183">
        <f t="shared" si="8"/>
        <v>0.95742232451093212</v>
      </c>
      <c r="Q12" s="91">
        <v>134</v>
      </c>
      <c r="R12" s="91">
        <v>0</v>
      </c>
      <c r="S12" s="92">
        <v>2034891</v>
      </c>
      <c r="T12" s="85">
        <f t="shared" si="13"/>
        <v>2034891</v>
      </c>
      <c r="U12" s="92">
        <v>1935466</v>
      </c>
      <c r="V12" s="92">
        <v>99425</v>
      </c>
      <c r="W12" s="185">
        <f t="shared" si="9"/>
        <v>4.8860110934688887E-2</v>
      </c>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row>
    <row r="13" spans="1:220" s="168" customFormat="1">
      <c r="A13" s="90" t="s">
        <v>81</v>
      </c>
      <c r="B13" s="91">
        <v>11</v>
      </c>
      <c r="C13" s="91">
        <v>6.25</v>
      </c>
      <c r="D13" s="81">
        <f t="shared" si="10"/>
        <v>17.25</v>
      </c>
      <c r="E13" s="82">
        <f t="shared" si="11"/>
        <v>28</v>
      </c>
      <c r="F13" s="82">
        <f t="shared" si="12"/>
        <v>18</v>
      </c>
      <c r="G13" s="113"/>
      <c r="H13" s="113"/>
      <c r="I13" s="91">
        <v>143</v>
      </c>
      <c r="J13" s="91">
        <v>183</v>
      </c>
      <c r="K13" s="81">
        <f t="shared" ref="K13:K22" si="14">SUM(I13:J13)</f>
        <v>326</v>
      </c>
      <c r="L13" s="91">
        <v>113</v>
      </c>
      <c r="M13" s="163">
        <f t="shared" ref="M13:M22" si="15">(I13+L13)</f>
        <v>256</v>
      </c>
      <c r="N13" s="91">
        <v>37</v>
      </c>
      <c r="O13" s="91">
        <v>309</v>
      </c>
      <c r="P13" s="183">
        <f t="shared" si="8"/>
        <v>0.82847896440129454</v>
      </c>
      <c r="Q13" s="91">
        <v>120</v>
      </c>
      <c r="R13" s="91">
        <v>4</v>
      </c>
      <c r="S13" s="92">
        <v>1878895</v>
      </c>
      <c r="T13" s="85">
        <f t="shared" si="13"/>
        <v>1890877.6</v>
      </c>
      <c r="U13" s="92">
        <v>1769896.06</v>
      </c>
      <c r="V13" s="92">
        <v>120981.54</v>
      </c>
      <c r="W13" s="185">
        <f t="shared" si="9"/>
        <v>6.3981687656567504E-2</v>
      </c>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row>
    <row r="14" spans="1:220" s="71" customFormat="1">
      <c r="A14" s="90" t="s">
        <v>82</v>
      </c>
      <c r="B14" s="361">
        <v>10</v>
      </c>
      <c r="C14" s="361">
        <v>3</v>
      </c>
      <c r="D14" s="108">
        <f t="shared" si="10"/>
        <v>13</v>
      </c>
      <c r="E14" s="109">
        <f t="shared" si="11"/>
        <v>24</v>
      </c>
      <c r="F14" s="109">
        <f t="shared" si="12"/>
        <v>18</v>
      </c>
      <c r="G14" s="113"/>
      <c r="H14" s="113"/>
      <c r="I14" s="361">
        <v>122</v>
      </c>
      <c r="J14" s="361">
        <v>176</v>
      </c>
      <c r="K14" s="108">
        <f t="shared" si="14"/>
        <v>298</v>
      </c>
      <c r="L14" s="361">
        <v>103</v>
      </c>
      <c r="M14" s="212">
        <f t="shared" si="15"/>
        <v>225</v>
      </c>
      <c r="N14" s="361">
        <v>26</v>
      </c>
      <c r="O14" s="361">
        <v>235.78</v>
      </c>
      <c r="P14" s="183">
        <f t="shared" si="8"/>
        <v>0.95427941301212993</v>
      </c>
      <c r="Q14" s="361">
        <v>115</v>
      </c>
      <c r="R14" s="361">
        <v>1</v>
      </c>
      <c r="S14" s="112">
        <v>1732813.83</v>
      </c>
      <c r="T14" s="110">
        <f t="shared" si="13"/>
        <v>1732814</v>
      </c>
      <c r="U14" s="112">
        <v>1605301</v>
      </c>
      <c r="V14" s="112">
        <v>127513</v>
      </c>
      <c r="W14" s="185">
        <f t="shared" si="9"/>
        <v>7.3587240176960708E-2</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row>
    <row r="15" spans="1:220" s="71" customFormat="1">
      <c r="A15" s="90" t="s">
        <v>83</v>
      </c>
      <c r="B15" s="361">
        <v>10</v>
      </c>
      <c r="C15" s="361">
        <v>3.5</v>
      </c>
      <c r="D15" s="108">
        <f t="shared" si="10"/>
        <v>13.5</v>
      </c>
      <c r="E15" s="109">
        <f t="shared" si="11"/>
        <v>21</v>
      </c>
      <c r="F15" s="109">
        <f t="shared" si="12"/>
        <v>16</v>
      </c>
      <c r="G15" s="113"/>
      <c r="H15" s="113"/>
      <c r="I15" s="361">
        <v>153</v>
      </c>
      <c r="J15" s="361">
        <v>100</v>
      </c>
      <c r="K15" s="108">
        <f t="shared" si="14"/>
        <v>253</v>
      </c>
      <c r="L15" s="361">
        <v>52</v>
      </c>
      <c r="M15" s="212">
        <f t="shared" si="15"/>
        <v>205</v>
      </c>
      <c r="N15" s="361">
        <v>22</v>
      </c>
      <c r="O15" s="361">
        <v>210.67</v>
      </c>
      <c r="P15" s="183">
        <f t="shared" si="8"/>
        <v>0.97308586889447957</v>
      </c>
      <c r="Q15" s="361">
        <v>130</v>
      </c>
      <c r="R15" s="361">
        <v>1</v>
      </c>
      <c r="S15" s="112">
        <v>1870830.57</v>
      </c>
      <c r="T15" s="110">
        <f t="shared" si="13"/>
        <v>1870831</v>
      </c>
      <c r="U15" s="112">
        <v>1746556</v>
      </c>
      <c r="V15" s="112">
        <v>124275</v>
      </c>
      <c r="W15" s="185">
        <f t="shared" si="9"/>
        <v>6.6427699776195712E-2</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row>
    <row r="16" spans="1:220" s="71" customFormat="1">
      <c r="A16" s="90" t="s">
        <v>84</v>
      </c>
      <c r="B16" s="361">
        <v>10</v>
      </c>
      <c r="C16" s="361">
        <v>3</v>
      </c>
      <c r="D16" s="108">
        <f t="shared" si="10"/>
        <v>13</v>
      </c>
      <c r="E16" s="109">
        <f t="shared" si="11"/>
        <v>21</v>
      </c>
      <c r="F16" s="109">
        <f t="shared" si="12"/>
        <v>16</v>
      </c>
      <c r="G16" s="113"/>
      <c r="H16" s="113"/>
      <c r="I16" s="361">
        <v>151</v>
      </c>
      <c r="J16" s="361">
        <v>98</v>
      </c>
      <c r="K16" s="108">
        <f t="shared" si="14"/>
        <v>249</v>
      </c>
      <c r="L16" s="361">
        <v>52</v>
      </c>
      <c r="M16" s="212">
        <f t="shared" si="15"/>
        <v>203</v>
      </c>
      <c r="N16" s="361">
        <v>16</v>
      </c>
      <c r="O16" s="361">
        <v>205</v>
      </c>
      <c r="P16" s="183">
        <f t="shared" si="8"/>
        <v>0.99024390243902438</v>
      </c>
      <c r="Q16" s="361">
        <v>132</v>
      </c>
      <c r="R16" s="361">
        <v>0</v>
      </c>
      <c r="S16" s="112">
        <v>1771424</v>
      </c>
      <c r="T16" s="110">
        <f t="shared" si="13"/>
        <v>1771424</v>
      </c>
      <c r="U16" s="112">
        <v>1705424</v>
      </c>
      <c r="V16" s="112">
        <v>66000</v>
      </c>
      <c r="W16" s="185">
        <f t="shared" si="9"/>
        <v>3.7258160666221077E-2</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row>
    <row r="17" spans="1:99" s="71" customFormat="1">
      <c r="A17" s="90">
        <v>2007</v>
      </c>
      <c r="B17" s="361">
        <v>12</v>
      </c>
      <c r="C17" s="361">
        <v>2.5</v>
      </c>
      <c r="D17" s="194">
        <f t="shared" si="10"/>
        <v>14.5</v>
      </c>
      <c r="E17" s="109">
        <f t="shared" si="11"/>
        <v>17</v>
      </c>
      <c r="F17" s="109">
        <f t="shared" si="12"/>
        <v>14</v>
      </c>
      <c r="G17" s="113"/>
      <c r="H17" s="113"/>
      <c r="I17" s="361">
        <v>128</v>
      </c>
      <c r="J17" s="361">
        <v>133</v>
      </c>
      <c r="K17" s="194">
        <f t="shared" si="14"/>
        <v>261</v>
      </c>
      <c r="L17" s="361">
        <v>73.66</v>
      </c>
      <c r="M17" s="212">
        <f t="shared" si="15"/>
        <v>201.66</v>
      </c>
      <c r="N17" s="361">
        <v>12</v>
      </c>
      <c r="O17" s="361">
        <v>206</v>
      </c>
      <c r="P17" s="183">
        <f t="shared" si="8"/>
        <v>0.97893203883495139</v>
      </c>
      <c r="Q17" s="361">
        <v>142</v>
      </c>
      <c r="R17" s="361">
        <v>0</v>
      </c>
      <c r="S17" s="192">
        <v>1788651</v>
      </c>
      <c r="T17" s="110">
        <f t="shared" si="13"/>
        <v>1788651</v>
      </c>
      <c r="U17" s="192">
        <v>1557103</v>
      </c>
      <c r="V17" s="192">
        <v>231548</v>
      </c>
      <c r="W17" s="185">
        <f t="shared" si="9"/>
        <v>0.12945398515417486</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row>
    <row r="18" spans="1:99" s="71" customFormat="1">
      <c r="A18" s="90">
        <v>2006</v>
      </c>
      <c r="B18" s="361">
        <v>12</v>
      </c>
      <c r="C18" s="361">
        <v>2.25</v>
      </c>
      <c r="D18" s="194">
        <f t="shared" si="10"/>
        <v>14.25</v>
      </c>
      <c r="E18" s="109">
        <f t="shared" si="11"/>
        <v>20</v>
      </c>
      <c r="F18" s="109">
        <f t="shared" si="12"/>
        <v>17</v>
      </c>
      <c r="G18" s="113"/>
      <c r="H18" s="113"/>
      <c r="I18" s="361">
        <v>152</v>
      </c>
      <c r="J18" s="361">
        <v>139</v>
      </c>
      <c r="K18" s="194">
        <f t="shared" si="14"/>
        <v>291</v>
      </c>
      <c r="L18" s="361">
        <v>75</v>
      </c>
      <c r="M18" s="212">
        <f t="shared" si="15"/>
        <v>227</v>
      </c>
      <c r="N18" s="361">
        <v>14</v>
      </c>
      <c r="O18" s="361">
        <v>236.1</v>
      </c>
      <c r="P18" s="183">
        <f t="shared" si="8"/>
        <v>0.96145700974163495</v>
      </c>
      <c r="Q18" s="361">
        <v>138</v>
      </c>
      <c r="R18" s="361">
        <v>352</v>
      </c>
      <c r="S18" s="192">
        <v>1632712</v>
      </c>
      <c r="T18" s="110">
        <f t="shared" si="13"/>
        <v>1632712</v>
      </c>
      <c r="U18" s="192">
        <v>1435800</v>
      </c>
      <c r="V18" s="192">
        <v>196912</v>
      </c>
      <c r="W18" s="185">
        <f t="shared" si="9"/>
        <v>0.12060424618671266</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row>
    <row r="19" spans="1:99" s="71" customFormat="1">
      <c r="A19" s="90">
        <v>2005</v>
      </c>
      <c r="B19" s="361">
        <v>12</v>
      </c>
      <c r="C19" s="361">
        <v>2</v>
      </c>
      <c r="D19" s="194">
        <f t="shared" si="10"/>
        <v>14</v>
      </c>
      <c r="E19" s="109">
        <f t="shared" si="11"/>
        <v>19</v>
      </c>
      <c r="F19" s="109">
        <f t="shared" si="12"/>
        <v>16</v>
      </c>
      <c r="G19" s="113"/>
      <c r="H19" s="113"/>
      <c r="I19" s="361">
        <v>149</v>
      </c>
      <c r="J19" s="361">
        <v>136</v>
      </c>
      <c r="K19" s="194">
        <f t="shared" si="14"/>
        <v>285</v>
      </c>
      <c r="L19" s="361">
        <v>73</v>
      </c>
      <c r="M19" s="212">
        <f t="shared" si="15"/>
        <v>222</v>
      </c>
      <c r="N19" s="361">
        <v>21</v>
      </c>
      <c r="O19" s="361">
        <v>226</v>
      </c>
      <c r="P19" s="183">
        <f t="shared" si="8"/>
        <v>0.98230088495575218</v>
      </c>
      <c r="Q19" s="361">
        <v>142</v>
      </c>
      <c r="R19" s="361">
        <v>36</v>
      </c>
      <c r="S19" s="192">
        <v>1628658</v>
      </c>
      <c r="T19" s="110">
        <f t="shared" si="13"/>
        <v>1528596</v>
      </c>
      <c r="U19" s="192">
        <v>1223897</v>
      </c>
      <c r="V19" s="192">
        <v>304699</v>
      </c>
      <c r="W19" s="185">
        <f t="shared" si="9"/>
        <v>0.19933259016770946</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row>
    <row r="20" spans="1:99" s="71" customFormat="1">
      <c r="A20" s="90">
        <v>2004</v>
      </c>
      <c r="B20" s="195">
        <v>12</v>
      </c>
      <c r="C20" s="195">
        <v>2</v>
      </c>
      <c r="D20" s="194">
        <f t="shared" si="10"/>
        <v>14</v>
      </c>
      <c r="E20" s="109">
        <f t="shared" si="11"/>
        <v>19</v>
      </c>
      <c r="F20" s="109">
        <f t="shared" si="12"/>
        <v>16</v>
      </c>
      <c r="G20" s="113"/>
      <c r="H20" s="113"/>
      <c r="I20" s="195">
        <v>145</v>
      </c>
      <c r="J20" s="195">
        <v>137</v>
      </c>
      <c r="K20" s="194">
        <f t="shared" si="14"/>
        <v>282</v>
      </c>
      <c r="L20" s="195">
        <v>73</v>
      </c>
      <c r="M20" s="212">
        <f t="shared" si="15"/>
        <v>218</v>
      </c>
      <c r="N20" s="195">
        <v>18</v>
      </c>
      <c r="O20" s="195">
        <v>230</v>
      </c>
      <c r="P20" s="183">
        <f t="shared" si="8"/>
        <v>0.94782608695652171</v>
      </c>
      <c r="Q20" s="195">
        <v>152</v>
      </c>
      <c r="R20" s="361">
        <v>0</v>
      </c>
      <c r="S20" s="192">
        <v>1220301</v>
      </c>
      <c r="T20" s="110">
        <f t="shared" si="13"/>
        <v>1286750</v>
      </c>
      <c r="U20" s="192">
        <v>1275250</v>
      </c>
      <c r="V20" s="192">
        <v>11500</v>
      </c>
      <c r="W20" s="185">
        <f t="shared" si="9"/>
        <v>8.9372449970856818E-3</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row>
    <row r="21" spans="1:99" s="71" customFormat="1">
      <c r="A21" s="90">
        <v>2003</v>
      </c>
      <c r="B21" s="195">
        <v>11</v>
      </c>
      <c r="C21" s="195">
        <v>2</v>
      </c>
      <c r="D21" s="194">
        <f t="shared" si="10"/>
        <v>13</v>
      </c>
      <c r="E21" s="109">
        <f t="shared" si="11"/>
        <v>20</v>
      </c>
      <c r="F21" s="109">
        <f t="shared" si="12"/>
        <v>17</v>
      </c>
      <c r="G21" s="113"/>
      <c r="H21" s="113"/>
      <c r="I21" s="195">
        <v>142</v>
      </c>
      <c r="J21" s="195">
        <v>139</v>
      </c>
      <c r="K21" s="194">
        <f t="shared" si="14"/>
        <v>281</v>
      </c>
      <c r="L21" s="195">
        <v>64</v>
      </c>
      <c r="M21" s="212">
        <f t="shared" si="15"/>
        <v>206</v>
      </c>
      <c r="N21" s="195">
        <v>15</v>
      </c>
      <c r="O21" s="195">
        <v>215</v>
      </c>
      <c r="P21" s="183">
        <f t="shared" si="8"/>
        <v>0.95813953488372094</v>
      </c>
      <c r="Q21" s="195">
        <v>135</v>
      </c>
      <c r="R21" s="361">
        <v>1</v>
      </c>
      <c r="S21" s="192">
        <v>1204199</v>
      </c>
      <c r="T21" s="110">
        <f t="shared" si="13"/>
        <v>1267720</v>
      </c>
      <c r="U21" s="192">
        <v>1194170</v>
      </c>
      <c r="V21" s="192">
        <v>73550</v>
      </c>
      <c r="W21" s="185">
        <f t="shared" si="9"/>
        <v>5.8017543306092829E-2</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row>
    <row r="22" spans="1:99" s="71" customFormat="1">
      <c r="A22" s="90">
        <v>2002</v>
      </c>
      <c r="B22" s="195">
        <v>9</v>
      </c>
      <c r="C22" s="195">
        <v>2</v>
      </c>
      <c r="D22" s="194">
        <f t="shared" si="10"/>
        <v>11</v>
      </c>
      <c r="E22" s="109">
        <f t="shared" si="11"/>
        <v>25</v>
      </c>
      <c r="F22" s="109">
        <f t="shared" si="12"/>
        <v>20</v>
      </c>
      <c r="G22" s="113"/>
      <c r="H22" s="113"/>
      <c r="I22" s="195">
        <v>129</v>
      </c>
      <c r="J22" s="195">
        <v>166</v>
      </c>
      <c r="K22" s="194">
        <f t="shared" si="14"/>
        <v>295</v>
      </c>
      <c r="L22" s="195">
        <v>86</v>
      </c>
      <c r="M22" s="212">
        <f t="shared" si="15"/>
        <v>215</v>
      </c>
      <c r="N22" s="195">
        <v>14</v>
      </c>
      <c r="O22" s="195">
        <v>223</v>
      </c>
      <c r="P22" s="183">
        <f t="shared" si="8"/>
        <v>0.9641255605381166</v>
      </c>
      <c r="Q22" s="195">
        <v>109</v>
      </c>
      <c r="R22" s="361">
        <v>0</v>
      </c>
      <c r="S22" s="192">
        <v>1313256</v>
      </c>
      <c r="T22" s="110">
        <f t="shared" si="13"/>
        <v>1338554</v>
      </c>
      <c r="U22" s="192">
        <v>1221168</v>
      </c>
      <c r="V22" s="192">
        <v>117386</v>
      </c>
      <c r="W22" s="185">
        <f t="shared" si="9"/>
        <v>8.769612581935432E-2</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row>
    <row r="23" spans="1:99" s="71" customFormat="1">
      <c r="A23" s="654" t="s">
        <v>132</v>
      </c>
      <c r="B23" s="667"/>
      <c r="C23" s="667"/>
      <c r="D23" s="667"/>
      <c r="E23" s="667"/>
      <c r="F23" s="667"/>
      <c r="G23" s="667"/>
      <c r="H23" s="667"/>
      <c r="I23" s="667"/>
      <c r="J23" s="667"/>
      <c r="K23" s="667"/>
      <c r="L23" s="667"/>
      <c r="M23" s="667"/>
      <c r="N23" s="667"/>
      <c r="O23" s="667"/>
      <c r="P23" s="667"/>
      <c r="Q23" s="667"/>
      <c r="R23" s="667"/>
      <c r="S23" s="667"/>
      <c r="T23" s="667"/>
      <c r="U23" s="667"/>
      <c r="V23" s="667"/>
      <c r="W23" s="667"/>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row>
    <row r="24" spans="1:99" s="76" customFormat="1" ht="30.6" customHeight="1">
      <c r="A24" s="655" t="s">
        <v>179</v>
      </c>
      <c r="B24" s="656"/>
      <c r="C24" s="656"/>
      <c r="D24" s="656"/>
      <c r="E24" s="656"/>
      <c r="F24" s="656"/>
      <c r="G24" s="656"/>
      <c r="H24" s="656"/>
      <c r="I24" s="656"/>
      <c r="J24" s="656"/>
      <c r="K24" s="656"/>
      <c r="L24" s="656"/>
      <c r="M24" s="656"/>
      <c r="N24" s="656"/>
      <c r="O24" s="656"/>
      <c r="P24" s="656"/>
      <c r="Q24" s="656"/>
      <c r="R24" s="656"/>
      <c r="S24" s="656"/>
      <c r="T24" s="656"/>
      <c r="U24" s="656"/>
      <c r="V24" s="656"/>
      <c r="W24" s="656"/>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row>
    <row r="25" spans="1:99" s="76" customFormat="1">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row>
    <row r="26" spans="1:99" s="76" customFormat="1">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row>
    <row r="27" spans="1:99" s="76" customFormat="1">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row>
    <row r="28" spans="1:99" s="76" customFormat="1">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row>
    <row r="29" spans="1:99" s="76" customFormat="1">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row>
    <row r="30" spans="1:99" s="76" customFormat="1">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row>
    <row r="31" spans="1:99" s="76" customFormat="1">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row>
    <row r="32" spans="1:99" s="76" customFormat="1">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row>
    <row r="33" spans="24:99" s="76" customFormat="1">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row>
  </sheetData>
  <mergeCells count="2">
    <mergeCell ref="A23:W23"/>
    <mergeCell ref="A24:W24"/>
  </mergeCells>
  <printOptions headings="1" gridLines="1"/>
  <pageMargins left="0.5" right="0.5" top="0.5" bottom="0.5" header="0" footer="0"/>
  <pageSetup paperSize="5" scale="67" orientation="landscape" horizontalDpi="1200" verticalDpi="120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L34"/>
  <sheetViews>
    <sheetView workbookViewId="0">
      <selection activeCell="B27" sqref="B27"/>
    </sheetView>
  </sheetViews>
  <sheetFormatPr defaultColWidth="8.85546875" defaultRowHeight="15"/>
  <cols>
    <col min="1" max="2" width="8.42578125" style="77" customWidth="1"/>
    <col min="3" max="3" width="8.42578125" style="77" bestFit="1" customWidth="1"/>
    <col min="4" max="4" width="9.28515625" style="77" bestFit="1" customWidth="1"/>
    <col min="5" max="5" width="12.28515625" style="77" bestFit="1" customWidth="1"/>
    <col min="6" max="6" width="11.42578125" style="77" bestFit="1" customWidth="1"/>
    <col min="7" max="8" width="12.140625" style="77" customWidth="1"/>
    <col min="9" max="9" width="8.85546875" style="77" bestFit="1" customWidth="1"/>
    <col min="10" max="11" width="11.85546875" style="77" bestFit="1" customWidth="1"/>
    <col min="12" max="12" width="12.28515625" style="77" bestFit="1" customWidth="1"/>
    <col min="13" max="13" width="13.140625" style="77" bestFit="1" customWidth="1"/>
    <col min="14" max="14" width="11.140625" style="77" customWidth="1"/>
    <col min="15" max="15" width="13.42578125" style="77" bestFit="1" customWidth="1"/>
    <col min="16" max="16" width="14.28515625" style="77" customWidth="1"/>
    <col min="17" max="17" width="12.42578125" style="77" bestFit="1" customWidth="1"/>
    <col min="18" max="18" width="9" style="77" bestFit="1" customWidth="1"/>
    <col min="19" max="19" width="11.85546875" style="77" bestFit="1" customWidth="1"/>
    <col min="20" max="20" width="11.85546875" style="77" customWidth="1"/>
    <col min="21" max="21" width="10.7109375" style="77" bestFit="1" customWidth="1"/>
    <col min="22" max="22" width="10.85546875" style="77" bestFit="1" customWidth="1"/>
    <col min="23" max="23" width="14.28515625" style="77" customWidth="1"/>
    <col min="24" max="86" width="8.85546875" style="214"/>
    <col min="87" max="16384" width="8.85546875" style="77"/>
  </cols>
  <sheetData>
    <row r="1" spans="1:220" s="1" customFormat="1" ht="18.75">
      <c r="A1" s="1" t="s">
        <v>77</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row>
    <row r="2" spans="1:220" s="7"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row>
    <row r="3" spans="1:220" s="416" customFormat="1">
      <c r="A3" s="417">
        <v>2021</v>
      </c>
      <c r="B3" s="412">
        <v>10</v>
      </c>
      <c r="C3" s="412">
        <v>2</v>
      </c>
      <c r="D3" s="410">
        <f t="shared" ref="D3" si="0">SUM(B3:C3)</f>
        <v>12</v>
      </c>
      <c r="E3" s="411">
        <f t="shared" ref="E3" si="1">ROUND((O3/B3), 0)</f>
        <v>18</v>
      </c>
      <c r="F3" s="411">
        <f t="shared" ref="F3" si="2">ROUND((O3/D3), 0)</f>
        <v>15</v>
      </c>
      <c r="G3" s="412">
        <v>10</v>
      </c>
      <c r="H3" s="412">
        <v>2</v>
      </c>
      <c r="I3" s="412">
        <v>150</v>
      </c>
      <c r="J3" s="412">
        <v>0</v>
      </c>
      <c r="K3" s="410">
        <f t="shared" ref="K3" si="3">SUM(I3:J3)</f>
        <v>150</v>
      </c>
      <c r="L3" s="409">
        <v>0</v>
      </c>
      <c r="M3" s="411">
        <f t="shared" ref="M3" si="4">(I3+L3)</f>
        <v>150</v>
      </c>
      <c r="N3" s="490">
        <v>65</v>
      </c>
      <c r="O3" s="490">
        <v>180</v>
      </c>
      <c r="P3" s="413">
        <f t="shared" ref="P3" si="5">M3/O3</f>
        <v>0.83333333333333337</v>
      </c>
      <c r="Q3" s="409">
        <v>51</v>
      </c>
      <c r="R3" s="409">
        <v>1</v>
      </c>
      <c r="S3" s="509">
        <v>5628584</v>
      </c>
      <c r="T3" s="415">
        <f t="shared" ref="T3" si="6">SUM(U3:V3)</f>
        <v>8351027</v>
      </c>
      <c r="U3" s="510">
        <v>4819844</v>
      </c>
      <c r="V3" s="511">
        <v>3531183</v>
      </c>
      <c r="W3" s="335">
        <f t="shared" ref="W3" si="7">V3/T3</f>
        <v>0.42284416036494671</v>
      </c>
      <c r="X3" s="537"/>
      <c r="Y3" s="538"/>
      <c r="Z3" s="537"/>
      <c r="AA3" s="537"/>
      <c r="AB3" s="539"/>
      <c r="AC3" s="465"/>
      <c r="AD3" s="539"/>
      <c r="AE3" s="539"/>
      <c r="AF3" s="540"/>
    </row>
    <row r="4" spans="1:220" s="416" customFormat="1">
      <c r="A4" s="417">
        <v>2020</v>
      </c>
      <c r="B4" s="412">
        <v>12</v>
      </c>
      <c r="C4" s="412">
        <v>2</v>
      </c>
      <c r="D4" s="410">
        <f>SUM(B4:C4)</f>
        <v>14</v>
      </c>
      <c r="E4" s="411">
        <f>ROUND((O4/B4), 0)</f>
        <v>11</v>
      </c>
      <c r="F4" s="411">
        <f>ROUND((O4/D4), 0)</f>
        <v>10</v>
      </c>
      <c r="G4" s="412">
        <v>12</v>
      </c>
      <c r="H4" s="412">
        <v>2</v>
      </c>
      <c r="I4" s="412">
        <v>108</v>
      </c>
      <c r="J4" s="412">
        <v>0</v>
      </c>
      <c r="K4" s="410">
        <f t="shared" ref="K4" si="8">SUM(I4:J4)</f>
        <v>108</v>
      </c>
      <c r="L4" s="409">
        <v>0</v>
      </c>
      <c r="M4" s="411">
        <f>(I4+L4)</f>
        <v>108</v>
      </c>
      <c r="N4" s="490">
        <v>48</v>
      </c>
      <c r="O4" s="490">
        <v>133</v>
      </c>
      <c r="P4" s="413">
        <f t="shared" ref="P4" si="9">M4/O4</f>
        <v>0.81203007518796988</v>
      </c>
      <c r="Q4" s="409">
        <v>53</v>
      </c>
      <c r="R4" s="409">
        <v>2</v>
      </c>
      <c r="S4" s="509">
        <v>4774290</v>
      </c>
      <c r="T4" s="415">
        <f>SUM(U4:V4)</f>
        <v>8090602</v>
      </c>
      <c r="U4" s="510">
        <v>4635328</v>
      </c>
      <c r="V4" s="511">
        <v>3455274</v>
      </c>
      <c r="W4" s="335">
        <f t="shared" ref="W4" si="10">V4/T4</f>
        <v>0.4270725466411523</v>
      </c>
      <c r="X4" s="537"/>
      <c r="Y4" s="538"/>
      <c r="Z4" s="537"/>
      <c r="AA4" s="537"/>
      <c r="AB4" s="539"/>
      <c r="AC4" s="465"/>
      <c r="AD4" s="539"/>
      <c r="AE4" s="539"/>
      <c r="AF4" s="540"/>
    </row>
    <row r="5" spans="1:220" s="416" customFormat="1">
      <c r="A5" s="417">
        <v>2019</v>
      </c>
      <c r="B5" s="412">
        <v>13</v>
      </c>
      <c r="C5" s="412">
        <v>1</v>
      </c>
      <c r="D5" s="410">
        <f>SUM(B5:C5)</f>
        <v>14</v>
      </c>
      <c r="E5" s="411">
        <f>ROUND((O5/B5), 0)</f>
        <v>10</v>
      </c>
      <c r="F5" s="411">
        <f>ROUND((O5/D5), 0)</f>
        <v>10</v>
      </c>
      <c r="G5" s="412">
        <v>13</v>
      </c>
      <c r="H5" s="412">
        <v>1</v>
      </c>
      <c r="I5" s="412">
        <v>111</v>
      </c>
      <c r="J5" s="412">
        <v>0</v>
      </c>
      <c r="K5" s="410">
        <f>SUM(I5:J5)</f>
        <v>111</v>
      </c>
      <c r="L5" s="409">
        <v>0</v>
      </c>
      <c r="M5" s="411">
        <f>(I5+L5)</f>
        <v>111</v>
      </c>
      <c r="N5" s="490">
        <v>41</v>
      </c>
      <c r="O5" s="490">
        <v>135</v>
      </c>
      <c r="P5" s="413">
        <f>M5/O5</f>
        <v>0.82222222222222219</v>
      </c>
      <c r="Q5" s="409">
        <v>52</v>
      </c>
      <c r="R5" s="409">
        <v>6</v>
      </c>
      <c r="S5" s="509">
        <v>4681045</v>
      </c>
      <c r="T5" s="415">
        <f>SUM(U5:V5)</f>
        <v>7812089</v>
      </c>
      <c r="U5" s="510">
        <v>4345514</v>
      </c>
      <c r="V5" s="511">
        <v>3466575</v>
      </c>
      <c r="W5" s="335">
        <f>V5/T5</f>
        <v>0.44374494453404206</v>
      </c>
      <c r="X5" s="409"/>
      <c r="Y5" s="413"/>
      <c r="Z5" s="409"/>
      <c r="AA5" s="409"/>
      <c r="AB5" s="414"/>
      <c r="AC5" s="415"/>
      <c r="AD5" s="414"/>
      <c r="AE5" s="414"/>
      <c r="AF5" s="335"/>
    </row>
    <row r="6" spans="1:220" s="17" customFormat="1">
      <c r="A6" s="33">
        <v>2018</v>
      </c>
      <c r="B6" s="20">
        <v>14</v>
      </c>
      <c r="C6" s="20">
        <v>2</v>
      </c>
      <c r="D6" s="29">
        <f>SUM(B6:C6)</f>
        <v>16</v>
      </c>
      <c r="E6" s="172">
        <f>ROUND((O6/B6), 0)</f>
        <v>11</v>
      </c>
      <c r="F6" s="172">
        <f>ROUND((O6/D6), 0)</f>
        <v>9</v>
      </c>
      <c r="G6" s="20">
        <v>14</v>
      </c>
      <c r="H6" s="20">
        <v>2</v>
      </c>
      <c r="I6" s="20">
        <v>120</v>
      </c>
      <c r="J6" s="20">
        <v>0</v>
      </c>
      <c r="K6" s="29">
        <f t="shared" ref="K6" si="11">SUM(I6:J6)</f>
        <v>120</v>
      </c>
      <c r="L6" s="20">
        <v>0</v>
      </c>
      <c r="M6" s="172">
        <f>(I6+L6)</f>
        <v>120</v>
      </c>
      <c r="N6" s="20">
        <v>54</v>
      </c>
      <c r="O6" s="20">
        <v>151</v>
      </c>
      <c r="P6" s="183">
        <f>M6/O6</f>
        <v>0.79470198675496684</v>
      </c>
      <c r="Q6" s="20">
        <v>45</v>
      </c>
      <c r="R6" s="20">
        <v>4</v>
      </c>
      <c r="S6" s="24">
        <v>4269542</v>
      </c>
      <c r="T6" s="30">
        <f>SUM(U6:V6)</f>
        <v>6588588</v>
      </c>
      <c r="U6" s="24">
        <v>3185688</v>
      </c>
      <c r="V6" s="24">
        <v>3402900</v>
      </c>
      <c r="W6" s="185">
        <f>V6/T6</f>
        <v>0.51648395680531245</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0" customFormat="1">
      <c r="A7" s="11">
        <v>2017</v>
      </c>
      <c r="B7" s="20">
        <v>15</v>
      </c>
      <c r="C7" s="20">
        <v>2</v>
      </c>
      <c r="D7" s="29">
        <f>SUM(B7:C7)</f>
        <v>17</v>
      </c>
      <c r="E7" s="16">
        <f>ROUND((O7/B7), 0)</f>
        <v>9</v>
      </c>
      <c r="F7" s="16">
        <f>ROUND((O7/D7), 0)</f>
        <v>8</v>
      </c>
      <c r="G7" s="342">
        <v>14</v>
      </c>
      <c r="H7" s="342">
        <v>1</v>
      </c>
      <c r="I7" s="20">
        <v>111</v>
      </c>
      <c r="J7" s="20">
        <v>0</v>
      </c>
      <c r="K7" s="29">
        <f>SUM(I7:J7)</f>
        <v>111</v>
      </c>
      <c r="L7" s="20">
        <v>0</v>
      </c>
      <c r="M7" s="16">
        <f>(I7+L7)</f>
        <v>111</v>
      </c>
      <c r="N7" s="20">
        <v>50</v>
      </c>
      <c r="O7" s="20">
        <v>138</v>
      </c>
      <c r="P7" s="183">
        <f t="shared" ref="P7:P22" si="12">M7/O7</f>
        <v>0.80434782608695654</v>
      </c>
      <c r="Q7" s="20">
        <v>60</v>
      </c>
      <c r="R7" s="20">
        <v>6</v>
      </c>
      <c r="S7" s="343">
        <v>4296289</v>
      </c>
      <c r="T7" s="30">
        <f>SUM(U7:V7)</f>
        <v>7062087</v>
      </c>
      <c r="U7" s="343">
        <v>3033606</v>
      </c>
      <c r="V7" s="20">
        <f>466997+276143+2946791+338550</f>
        <v>4028481</v>
      </c>
      <c r="W7" s="185">
        <f t="shared" ref="W7:W22" si="13">V7/T7</f>
        <v>0.57043774736844788</v>
      </c>
    </row>
    <row r="8" spans="1:220" s="65" customFormat="1">
      <c r="A8" s="62">
        <v>2016</v>
      </c>
      <c r="B8" s="63">
        <v>14</v>
      </c>
      <c r="C8" s="63">
        <v>2</v>
      </c>
      <c r="D8" s="108">
        <f>SUM(B8:C8)</f>
        <v>16</v>
      </c>
      <c r="E8" s="82">
        <f>ROUND((O8/B8), 0)</f>
        <v>11</v>
      </c>
      <c r="F8" s="82">
        <f>ROUND((O8/D8), 0)</f>
        <v>9</v>
      </c>
      <c r="G8" s="83">
        <v>14</v>
      </c>
      <c r="H8" s="83">
        <v>0</v>
      </c>
      <c r="I8" s="63">
        <v>116</v>
      </c>
      <c r="J8" s="63">
        <v>0</v>
      </c>
      <c r="K8" s="108">
        <f>SUM(I8:J8)</f>
        <v>116</v>
      </c>
      <c r="L8" s="63">
        <v>0</v>
      </c>
      <c r="M8" s="82">
        <f>(I8+L8)</f>
        <v>116</v>
      </c>
      <c r="N8" s="63">
        <v>48</v>
      </c>
      <c r="O8" s="63">
        <v>147</v>
      </c>
      <c r="P8" s="183">
        <f t="shared" si="12"/>
        <v>0.78911564625850339</v>
      </c>
      <c r="Q8" s="63">
        <v>35</v>
      </c>
      <c r="R8" s="63">
        <v>5</v>
      </c>
      <c r="S8" s="63">
        <f>1887887+250361+13898+143773+809195+7647+4002+3210+468+2399+11777+7760+1158+73+11367+190+157+2052+5780+2562+905+1055+10+196+208772+85235+108+193+2676+1311+75008</f>
        <v>3541185</v>
      </c>
      <c r="T8" s="110">
        <f>SUM(U8:V8)</f>
        <v>9368094</v>
      </c>
      <c r="U8" s="63">
        <v>2793930</v>
      </c>
      <c r="V8" s="63">
        <f>700062+125898+2925063+2823141</f>
        <v>6574164</v>
      </c>
      <c r="W8" s="185">
        <f t="shared" si="13"/>
        <v>0.70176110530060865</v>
      </c>
    </row>
    <row r="9" spans="1:220" s="105" customFormat="1">
      <c r="A9" s="94">
        <v>2015</v>
      </c>
      <c r="B9" s="91">
        <v>12</v>
      </c>
      <c r="C9" s="91">
        <v>2.09</v>
      </c>
      <c r="D9" s="81">
        <v>14.09</v>
      </c>
      <c r="E9" s="81">
        <v>12.3</v>
      </c>
      <c r="F9" s="81">
        <v>10.5</v>
      </c>
      <c r="G9" s="111"/>
      <c r="H9" s="111"/>
      <c r="I9" s="91">
        <v>108</v>
      </c>
      <c r="J9" s="91">
        <v>0</v>
      </c>
      <c r="K9" s="81">
        <v>108</v>
      </c>
      <c r="L9" s="91">
        <v>0</v>
      </c>
      <c r="M9" s="81">
        <v>108</v>
      </c>
      <c r="N9" s="91">
        <v>39</v>
      </c>
      <c r="O9" s="91">
        <v>148</v>
      </c>
      <c r="P9" s="183">
        <f t="shared" si="12"/>
        <v>0.72972972972972971</v>
      </c>
      <c r="Q9" s="91">
        <v>39</v>
      </c>
      <c r="R9" s="91">
        <v>9</v>
      </c>
      <c r="S9" s="102">
        <v>3057420</v>
      </c>
      <c r="T9" s="103">
        <v>5604562</v>
      </c>
      <c r="U9" s="102">
        <v>2678433</v>
      </c>
      <c r="V9" s="102">
        <v>2926129</v>
      </c>
      <c r="W9" s="185">
        <f t="shared" si="13"/>
        <v>0.52209771254203274</v>
      </c>
    </row>
    <row r="10" spans="1:220" s="105" customFormat="1">
      <c r="A10" s="90">
        <v>2014</v>
      </c>
      <c r="B10" s="63">
        <v>12</v>
      </c>
      <c r="C10" s="63">
        <v>1.67</v>
      </c>
      <c r="D10" s="87">
        <v>13.67</v>
      </c>
      <c r="E10" s="146">
        <v>12</v>
      </c>
      <c r="F10" s="146">
        <v>15</v>
      </c>
      <c r="G10" s="111"/>
      <c r="H10" s="111"/>
      <c r="I10" s="63">
        <v>86</v>
      </c>
      <c r="J10" s="63">
        <v>1</v>
      </c>
      <c r="K10" s="87">
        <v>87</v>
      </c>
      <c r="L10" s="63">
        <v>0.67</v>
      </c>
      <c r="M10" s="146">
        <v>87</v>
      </c>
      <c r="N10" s="63">
        <v>35</v>
      </c>
      <c r="O10" s="63">
        <v>142</v>
      </c>
      <c r="P10" s="183">
        <f t="shared" si="12"/>
        <v>0.61267605633802813</v>
      </c>
      <c r="Q10" s="63">
        <v>43</v>
      </c>
      <c r="R10" s="63">
        <v>13</v>
      </c>
      <c r="S10" s="147">
        <v>2910836</v>
      </c>
      <c r="T10" s="148">
        <v>5680589</v>
      </c>
      <c r="U10" s="147">
        <v>2435840</v>
      </c>
      <c r="V10" s="147">
        <v>3244749</v>
      </c>
      <c r="W10" s="185">
        <f t="shared" si="13"/>
        <v>0.57119939499231509</v>
      </c>
    </row>
    <row r="11" spans="1:220" s="145" customFormat="1">
      <c r="A11" s="152" t="s">
        <v>80</v>
      </c>
      <c r="B11" s="356">
        <v>10</v>
      </c>
      <c r="C11" s="356">
        <v>2.5</v>
      </c>
      <c r="D11" s="149">
        <v>12.5</v>
      </c>
      <c r="E11" s="118">
        <v>12</v>
      </c>
      <c r="F11" s="118">
        <v>15</v>
      </c>
      <c r="G11" s="113"/>
      <c r="H11" s="113"/>
      <c r="I11" s="356">
        <v>92</v>
      </c>
      <c r="J11" s="356">
        <v>6</v>
      </c>
      <c r="K11" s="149">
        <v>98</v>
      </c>
      <c r="L11" s="356">
        <v>32</v>
      </c>
      <c r="M11" s="118">
        <v>124</v>
      </c>
      <c r="N11" s="356">
        <v>41</v>
      </c>
      <c r="O11" s="356">
        <v>148</v>
      </c>
      <c r="P11" s="183">
        <f t="shared" si="12"/>
        <v>0.83783783783783783</v>
      </c>
      <c r="Q11" s="356">
        <v>69</v>
      </c>
      <c r="R11" s="356">
        <v>13</v>
      </c>
      <c r="S11" s="150">
        <v>3165103</v>
      </c>
      <c r="T11" s="120">
        <v>3524280</v>
      </c>
      <c r="U11" s="150">
        <v>2350151</v>
      </c>
      <c r="V11" s="150">
        <v>1174129</v>
      </c>
      <c r="W11" s="185">
        <f t="shared" si="13"/>
        <v>0.33315428967051425</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row>
    <row r="12" spans="1:220" s="71" customFormat="1">
      <c r="A12" s="152" t="s">
        <v>86</v>
      </c>
      <c r="B12" s="356">
        <v>11</v>
      </c>
      <c r="C12" s="356">
        <v>2.5</v>
      </c>
      <c r="D12" s="149">
        <v>13.5</v>
      </c>
      <c r="E12" s="118">
        <v>13</v>
      </c>
      <c r="F12" s="118">
        <v>11</v>
      </c>
      <c r="G12" s="113"/>
      <c r="H12" s="113"/>
      <c r="I12" s="356">
        <v>98</v>
      </c>
      <c r="J12" s="356">
        <v>20</v>
      </c>
      <c r="K12" s="149">
        <v>118</v>
      </c>
      <c r="L12" s="356">
        <v>13.4</v>
      </c>
      <c r="M12" s="118">
        <v>111</v>
      </c>
      <c r="N12" s="356">
        <v>46</v>
      </c>
      <c r="O12" s="356">
        <v>143.74</v>
      </c>
      <c r="P12" s="183">
        <f t="shared" si="12"/>
        <v>0.77222763322665922</v>
      </c>
      <c r="Q12" s="356">
        <v>66</v>
      </c>
      <c r="R12" s="356">
        <v>4</v>
      </c>
      <c r="S12" s="150">
        <v>2809043</v>
      </c>
      <c r="T12" s="120">
        <v>5357155</v>
      </c>
      <c r="U12" s="150">
        <v>2315948</v>
      </c>
      <c r="V12" s="150">
        <v>3041207</v>
      </c>
      <c r="W12" s="185">
        <f t="shared" si="13"/>
        <v>0.5676906865677771</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row>
    <row r="13" spans="1:220" s="71" customFormat="1">
      <c r="A13" s="152" t="s">
        <v>81</v>
      </c>
      <c r="B13" s="356">
        <v>10</v>
      </c>
      <c r="C13" s="356">
        <v>2.5</v>
      </c>
      <c r="D13" s="149">
        <v>12.5</v>
      </c>
      <c r="E13" s="118">
        <v>17</v>
      </c>
      <c r="F13" s="118">
        <v>13</v>
      </c>
      <c r="G13" s="113"/>
      <c r="H13" s="113"/>
      <c r="I13" s="356">
        <v>123</v>
      </c>
      <c r="J13" s="356">
        <v>19</v>
      </c>
      <c r="K13" s="149">
        <v>142</v>
      </c>
      <c r="L13" s="356">
        <v>12.73</v>
      </c>
      <c r="M13" s="118">
        <v>136</v>
      </c>
      <c r="N13" s="356">
        <v>59</v>
      </c>
      <c r="O13" s="356">
        <v>166.74</v>
      </c>
      <c r="P13" s="183">
        <f t="shared" si="12"/>
        <v>0.81564111790812033</v>
      </c>
      <c r="Q13" s="356">
        <v>71</v>
      </c>
      <c r="R13" s="356">
        <v>4</v>
      </c>
      <c r="S13" s="150">
        <v>2878615</v>
      </c>
      <c r="T13" s="120">
        <v>3643403</v>
      </c>
      <c r="U13" s="150">
        <v>2124019</v>
      </c>
      <c r="V13" s="150">
        <v>1519384</v>
      </c>
      <c r="W13" s="185">
        <f t="shared" si="13"/>
        <v>0.41702331583961477</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row>
    <row r="14" spans="1:220" s="71" customFormat="1">
      <c r="A14" s="152" t="s">
        <v>82</v>
      </c>
      <c r="B14" s="356">
        <v>13.5</v>
      </c>
      <c r="C14" s="356">
        <v>0.44</v>
      </c>
      <c r="D14" s="149">
        <v>13.94</v>
      </c>
      <c r="E14" s="118">
        <v>12</v>
      </c>
      <c r="F14" s="118">
        <v>12</v>
      </c>
      <c r="G14" s="113"/>
      <c r="H14" s="113"/>
      <c r="I14" s="356">
        <v>122</v>
      </c>
      <c r="J14" s="356">
        <v>20</v>
      </c>
      <c r="K14" s="149">
        <v>142</v>
      </c>
      <c r="L14" s="356">
        <v>13.4</v>
      </c>
      <c r="M14" s="118">
        <v>135</v>
      </c>
      <c r="N14" s="356">
        <v>49</v>
      </c>
      <c r="O14" s="356">
        <v>167.74</v>
      </c>
      <c r="P14" s="183">
        <f t="shared" si="12"/>
        <v>0.80481697865744606</v>
      </c>
      <c r="Q14" s="356">
        <v>80</v>
      </c>
      <c r="R14" s="356">
        <v>4</v>
      </c>
      <c r="S14" s="150">
        <v>2244111</v>
      </c>
      <c r="T14" s="120">
        <v>3628865</v>
      </c>
      <c r="U14" s="150">
        <v>2102392</v>
      </c>
      <c r="V14" s="150">
        <v>1526473</v>
      </c>
      <c r="W14" s="185">
        <f t="shared" si="13"/>
        <v>0.42064750273157037</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row>
    <row r="15" spans="1:220" s="71" customFormat="1">
      <c r="A15" s="152" t="s">
        <v>83</v>
      </c>
      <c r="B15" s="356">
        <v>13.5</v>
      </c>
      <c r="C15" s="356">
        <v>0.33</v>
      </c>
      <c r="D15" s="149">
        <v>13.83</v>
      </c>
      <c r="E15" s="118">
        <v>14</v>
      </c>
      <c r="F15" s="118">
        <v>14</v>
      </c>
      <c r="G15" s="113"/>
      <c r="H15" s="113"/>
      <c r="I15" s="356">
        <v>138</v>
      </c>
      <c r="J15" s="356">
        <v>28</v>
      </c>
      <c r="K15" s="149">
        <v>166</v>
      </c>
      <c r="L15" s="356">
        <v>18.760000000000002</v>
      </c>
      <c r="M15" s="118">
        <v>157</v>
      </c>
      <c r="N15" s="356">
        <v>64</v>
      </c>
      <c r="O15" s="356">
        <v>190.43</v>
      </c>
      <c r="P15" s="183">
        <f t="shared" si="12"/>
        <v>0.82444992910780857</v>
      </c>
      <c r="Q15" s="356">
        <v>74</v>
      </c>
      <c r="R15" s="356">
        <v>6</v>
      </c>
      <c r="S15" s="150">
        <v>2386474</v>
      </c>
      <c r="T15" s="120">
        <v>3116888</v>
      </c>
      <c r="U15" s="150">
        <v>1811875</v>
      </c>
      <c r="V15" s="150">
        <v>1305013</v>
      </c>
      <c r="W15" s="185">
        <f t="shared" si="13"/>
        <v>0.41869101488407667</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row>
    <row r="16" spans="1:220" s="71" customFormat="1">
      <c r="A16" s="152" t="s">
        <v>84</v>
      </c>
      <c r="B16" s="356">
        <v>14.5</v>
      </c>
      <c r="C16" s="356">
        <v>0.33</v>
      </c>
      <c r="D16" s="149">
        <v>14.83</v>
      </c>
      <c r="E16" s="118">
        <v>14</v>
      </c>
      <c r="F16" s="118">
        <v>13</v>
      </c>
      <c r="G16" s="113"/>
      <c r="H16" s="113"/>
      <c r="I16" s="356">
        <v>131</v>
      </c>
      <c r="J16" s="356">
        <v>47</v>
      </c>
      <c r="K16" s="149">
        <v>178</v>
      </c>
      <c r="L16" s="356">
        <v>31.49</v>
      </c>
      <c r="M16" s="118">
        <v>162</v>
      </c>
      <c r="N16" s="356">
        <v>66</v>
      </c>
      <c r="O16" s="356">
        <v>196</v>
      </c>
      <c r="P16" s="183">
        <f t="shared" si="12"/>
        <v>0.82653061224489799</v>
      </c>
      <c r="Q16" s="356">
        <v>66</v>
      </c>
      <c r="R16" s="356">
        <v>5</v>
      </c>
      <c r="S16" s="150">
        <v>2770618</v>
      </c>
      <c r="T16" s="120">
        <v>2801328</v>
      </c>
      <c r="U16" s="150">
        <v>1969019</v>
      </c>
      <c r="V16" s="150">
        <v>832309</v>
      </c>
      <c r="W16" s="185">
        <f t="shared" si="13"/>
        <v>0.29711229816715501</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row>
    <row r="17" spans="1:86" s="71" customFormat="1">
      <c r="A17" s="151">
        <v>2007</v>
      </c>
      <c r="B17" s="356">
        <v>13.5</v>
      </c>
      <c r="C17" s="356">
        <v>0.11</v>
      </c>
      <c r="D17" s="149">
        <v>13.61</v>
      </c>
      <c r="E17" s="118">
        <v>14</v>
      </c>
      <c r="F17" s="118">
        <v>14</v>
      </c>
      <c r="G17" s="113"/>
      <c r="H17" s="113"/>
      <c r="I17" s="356">
        <v>136</v>
      </c>
      <c r="J17" s="356">
        <v>34</v>
      </c>
      <c r="K17" s="149">
        <v>170</v>
      </c>
      <c r="L17" s="356">
        <v>22.78</v>
      </c>
      <c r="M17" s="118">
        <v>159</v>
      </c>
      <c r="N17" s="356">
        <v>59</v>
      </c>
      <c r="O17" s="356">
        <v>190</v>
      </c>
      <c r="P17" s="183">
        <f t="shared" si="12"/>
        <v>0.83684210526315794</v>
      </c>
      <c r="Q17" s="356">
        <v>85</v>
      </c>
      <c r="R17" s="356">
        <v>3</v>
      </c>
      <c r="S17" s="100">
        <v>2751215</v>
      </c>
      <c r="T17" s="120">
        <v>2799036</v>
      </c>
      <c r="U17" s="100">
        <v>1581031</v>
      </c>
      <c r="V17" s="100">
        <v>1218005</v>
      </c>
      <c r="W17" s="185">
        <f t="shared" si="13"/>
        <v>0.4351516021944698</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row>
    <row r="18" spans="1:86" s="71" customFormat="1">
      <c r="A18" s="151">
        <v>2006</v>
      </c>
      <c r="B18" s="356">
        <v>13</v>
      </c>
      <c r="C18" s="356">
        <v>1</v>
      </c>
      <c r="D18" s="149">
        <v>14</v>
      </c>
      <c r="E18" s="118">
        <v>16</v>
      </c>
      <c r="F18" s="118">
        <v>15</v>
      </c>
      <c r="G18" s="113"/>
      <c r="H18" s="113"/>
      <c r="I18" s="356">
        <v>157</v>
      </c>
      <c r="J18" s="356">
        <v>32</v>
      </c>
      <c r="K18" s="149">
        <v>189</v>
      </c>
      <c r="L18" s="356">
        <v>21.44</v>
      </c>
      <c r="M18" s="118">
        <v>178</v>
      </c>
      <c r="N18" s="356">
        <v>74</v>
      </c>
      <c r="O18" s="356">
        <v>208</v>
      </c>
      <c r="P18" s="183">
        <f t="shared" si="12"/>
        <v>0.85576923076923073</v>
      </c>
      <c r="Q18" s="356">
        <v>81</v>
      </c>
      <c r="R18" s="356">
        <v>5</v>
      </c>
      <c r="S18" s="100">
        <v>2570603</v>
      </c>
      <c r="T18" s="120">
        <v>2731007</v>
      </c>
      <c r="U18" s="100">
        <v>1569064</v>
      </c>
      <c r="V18" s="100">
        <v>1161943</v>
      </c>
      <c r="W18" s="185">
        <f t="shared" si="13"/>
        <v>0.42546320825981038</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row>
    <row r="19" spans="1:86" s="71" customFormat="1">
      <c r="A19" s="151">
        <v>2005</v>
      </c>
      <c r="B19" s="356">
        <v>14</v>
      </c>
      <c r="C19" s="356">
        <v>1</v>
      </c>
      <c r="D19" s="149">
        <v>15</v>
      </c>
      <c r="E19" s="118">
        <v>14</v>
      </c>
      <c r="F19" s="118">
        <v>13</v>
      </c>
      <c r="G19" s="113"/>
      <c r="H19" s="113"/>
      <c r="I19" s="356">
        <v>150</v>
      </c>
      <c r="J19" s="356">
        <v>25</v>
      </c>
      <c r="K19" s="149">
        <v>175</v>
      </c>
      <c r="L19" s="356">
        <v>17</v>
      </c>
      <c r="M19" s="118">
        <v>167</v>
      </c>
      <c r="N19" s="356">
        <v>72</v>
      </c>
      <c r="O19" s="356">
        <v>193</v>
      </c>
      <c r="P19" s="183">
        <f t="shared" si="12"/>
        <v>0.86528497409326421</v>
      </c>
      <c r="Q19" s="356">
        <v>77</v>
      </c>
      <c r="R19" s="356">
        <v>3</v>
      </c>
      <c r="S19" s="100">
        <v>2481251</v>
      </c>
      <c r="T19" s="120">
        <v>3505738</v>
      </c>
      <c r="U19" s="100">
        <v>1705553</v>
      </c>
      <c r="V19" s="100">
        <v>1800185</v>
      </c>
      <c r="W19" s="185">
        <f t="shared" si="13"/>
        <v>0.51349673021771736</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row>
    <row r="20" spans="1:86" s="71" customFormat="1">
      <c r="A20" s="151">
        <v>2004</v>
      </c>
      <c r="B20" s="356">
        <v>12</v>
      </c>
      <c r="C20" s="356">
        <v>1</v>
      </c>
      <c r="D20" s="149">
        <v>13</v>
      </c>
      <c r="E20" s="118">
        <v>15</v>
      </c>
      <c r="F20" s="118">
        <v>14</v>
      </c>
      <c r="G20" s="113"/>
      <c r="H20" s="113"/>
      <c r="I20" s="356">
        <v>138</v>
      </c>
      <c r="J20" s="356">
        <v>34</v>
      </c>
      <c r="K20" s="149">
        <v>172</v>
      </c>
      <c r="L20" s="356">
        <v>22.77</v>
      </c>
      <c r="M20" s="118">
        <v>161</v>
      </c>
      <c r="N20" s="356">
        <v>55</v>
      </c>
      <c r="O20" s="356">
        <v>185.11</v>
      </c>
      <c r="P20" s="183">
        <f t="shared" si="12"/>
        <v>0.86975311976662517</v>
      </c>
      <c r="Q20" s="356">
        <v>52</v>
      </c>
      <c r="R20" s="356">
        <v>7</v>
      </c>
      <c r="S20" s="100">
        <v>2595475</v>
      </c>
      <c r="T20" s="120">
        <v>3161927</v>
      </c>
      <c r="U20" s="100">
        <v>1489940</v>
      </c>
      <c r="V20" s="100">
        <v>1671987</v>
      </c>
      <c r="W20" s="185">
        <f t="shared" si="13"/>
        <v>0.52878735024559387</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row>
    <row r="21" spans="1:86" s="71" customFormat="1">
      <c r="A21" s="151">
        <v>2003</v>
      </c>
      <c r="B21" s="356">
        <v>13</v>
      </c>
      <c r="C21" s="356">
        <v>0</v>
      </c>
      <c r="D21" s="149">
        <v>13</v>
      </c>
      <c r="E21" s="118">
        <v>14</v>
      </c>
      <c r="F21" s="118">
        <v>14</v>
      </c>
      <c r="G21" s="113"/>
      <c r="H21" s="113"/>
      <c r="I21" s="356">
        <v>122</v>
      </c>
      <c r="J21" s="356">
        <v>40</v>
      </c>
      <c r="K21" s="149">
        <v>162</v>
      </c>
      <c r="L21" s="356">
        <v>27</v>
      </c>
      <c r="M21" s="118">
        <v>149</v>
      </c>
      <c r="N21" s="356">
        <v>45</v>
      </c>
      <c r="O21" s="356">
        <v>178</v>
      </c>
      <c r="P21" s="183">
        <f t="shared" si="12"/>
        <v>0.8370786516853933</v>
      </c>
      <c r="Q21" s="356">
        <v>50</v>
      </c>
      <c r="R21" s="356">
        <v>3</v>
      </c>
      <c r="S21" s="100">
        <v>2783270</v>
      </c>
      <c r="T21" s="120">
        <v>3483154</v>
      </c>
      <c r="U21" s="100">
        <v>1573017</v>
      </c>
      <c r="V21" s="100">
        <v>1910137</v>
      </c>
      <c r="W21" s="185">
        <f t="shared" si="13"/>
        <v>0.54839292204708723</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row>
    <row r="22" spans="1:86" s="71" customFormat="1">
      <c r="A22" s="151">
        <v>2002</v>
      </c>
      <c r="B22" s="356">
        <v>13</v>
      </c>
      <c r="C22" s="356">
        <v>1</v>
      </c>
      <c r="D22" s="149">
        <v>14</v>
      </c>
      <c r="E22" s="118">
        <v>11</v>
      </c>
      <c r="F22" s="118">
        <v>10</v>
      </c>
      <c r="G22" s="113"/>
      <c r="H22" s="113"/>
      <c r="I22" s="356">
        <v>92</v>
      </c>
      <c r="J22" s="356">
        <v>35</v>
      </c>
      <c r="K22" s="149">
        <v>127</v>
      </c>
      <c r="L22" s="356">
        <v>24</v>
      </c>
      <c r="M22" s="118">
        <v>116</v>
      </c>
      <c r="N22" s="356">
        <v>41</v>
      </c>
      <c r="O22" s="356">
        <v>142</v>
      </c>
      <c r="P22" s="183">
        <f t="shared" si="12"/>
        <v>0.81690140845070425</v>
      </c>
      <c r="Q22" s="356">
        <v>76</v>
      </c>
      <c r="R22" s="356">
        <v>4</v>
      </c>
      <c r="S22" s="100">
        <v>2675434</v>
      </c>
      <c r="T22" s="120">
        <v>2817908</v>
      </c>
      <c r="U22" s="100">
        <v>1662738</v>
      </c>
      <c r="V22" s="100">
        <v>1155170</v>
      </c>
      <c r="W22" s="185">
        <f t="shared" si="13"/>
        <v>0.4099388624468932</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row>
    <row r="23" spans="1:86" s="76" customFormat="1">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row>
    <row r="24" spans="1:86" s="76" customFormat="1">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row>
    <row r="25" spans="1:86" s="76" customFormat="1">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row>
    <row r="26" spans="1:86" s="76" customFormat="1">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row>
    <row r="27" spans="1:86" s="76" customFormat="1">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row>
    <row r="28" spans="1:86" s="76" customFormat="1">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row>
    <row r="29" spans="1:86" s="76" customFormat="1">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row>
    <row r="30" spans="1:86" s="76" customFormat="1">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row>
    <row r="31" spans="1:86" s="76" customFormat="1">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row>
    <row r="32" spans="1:86" s="76" customFormat="1">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row>
    <row r="33" spans="24:86" s="76" customFormat="1">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row>
    <row r="34" spans="24:86" s="76" customFormat="1">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row>
  </sheetData>
  <printOptions headings="1" gridLines="1"/>
  <pageMargins left="0.5" right="0.5" top="0.5" bottom="0.5" header="0" footer="0"/>
  <pageSetup paperSize="5" scale="68" orientation="landscape"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L34"/>
  <sheetViews>
    <sheetView workbookViewId="0">
      <selection activeCell="O28" sqref="O28"/>
    </sheetView>
  </sheetViews>
  <sheetFormatPr defaultColWidth="8.85546875" defaultRowHeight="15"/>
  <cols>
    <col min="1" max="1" width="9.140625" style="77" customWidth="1"/>
    <col min="2" max="2" width="7.7109375" style="77" customWidth="1"/>
    <col min="3" max="3" width="8.42578125" style="77" bestFit="1" customWidth="1"/>
    <col min="4" max="4" width="9.28515625" style="77" bestFit="1" customWidth="1"/>
    <col min="5" max="5" width="12.28515625" style="77" bestFit="1" customWidth="1"/>
    <col min="6" max="6" width="11.42578125" style="77" bestFit="1" customWidth="1"/>
    <col min="7" max="8" width="12.140625" style="77" customWidth="1"/>
    <col min="9" max="9" width="8.85546875" style="77" bestFit="1" customWidth="1"/>
    <col min="10" max="11" width="11.85546875" style="77" bestFit="1" customWidth="1"/>
    <col min="12" max="12" width="12.28515625" style="77" bestFit="1" customWidth="1"/>
    <col min="13" max="14" width="13.140625" style="77" bestFit="1" customWidth="1"/>
    <col min="15" max="15" width="13.42578125" style="77" bestFit="1" customWidth="1"/>
    <col min="16" max="16" width="14.28515625" style="77" customWidth="1"/>
    <col min="17" max="17" width="12.42578125" style="77" bestFit="1" customWidth="1"/>
    <col min="18" max="18" width="9" style="77" bestFit="1" customWidth="1"/>
    <col min="19" max="19" width="11.85546875" style="77" bestFit="1" customWidth="1"/>
    <col min="20" max="20" width="12.85546875" style="77" bestFit="1" customWidth="1"/>
    <col min="21" max="21" width="12.7109375" style="77" bestFit="1" customWidth="1"/>
    <col min="22" max="22" width="10.85546875" style="77" bestFit="1" customWidth="1"/>
    <col min="23" max="23" width="12.85546875" style="77" bestFit="1" customWidth="1"/>
    <col min="24" max="52" width="8.85546875" style="214"/>
    <col min="53" max="16384" width="8.85546875" style="77"/>
  </cols>
  <sheetData>
    <row r="1" spans="1:220" s="1" customFormat="1" ht="18.75">
      <c r="A1" s="1" t="s">
        <v>63</v>
      </c>
      <c r="B1" s="2"/>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220" s="3" customFormat="1" ht="60">
      <c r="A2" s="6" t="s">
        <v>42</v>
      </c>
      <c r="B2" s="6" t="s">
        <v>25</v>
      </c>
      <c r="C2" s="6" t="s">
        <v>28</v>
      </c>
      <c r="D2" s="6" t="s">
        <v>29</v>
      </c>
      <c r="E2" s="6" t="s">
        <v>108</v>
      </c>
      <c r="F2" s="6" t="s">
        <v>30</v>
      </c>
      <c r="G2" s="6" t="s">
        <v>109</v>
      </c>
      <c r="H2" s="6" t="s">
        <v>110</v>
      </c>
      <c r="I2" s="6" t="s">
        <v>26</v>
      </c>
      <c r="J2" s="6" t="s">
        <v>31</v>
      </c>
      <c r="K2" s="6" t="s">
        <v>32</v>
      </c>
      <c r="L2" s="6" t="s">
        <v>33</v>
      </c>
      <c r="M2" s="6" t="s">
        <v>34</v>
      </c>
      <c r="N2" s="6" t="s">
        <v>35</v>
      </c>
      <c r="O2" s="6" t="s">
        <v>43</v>
      </c>
      <c r="P2" s="6" t="s">
        <v>36</v>
      </c>
      <c r="Q2" s="6" t="s">
        <v>44</v>
      </c>
      <c r="R2" s="6" t="s">
        <v>37</v>
      </c>
      <c r="S2" s="6" t="s">
        <v>38</v>
      </c>
      <c r="T2" s="6" t="s">
        <v>39</v>
      </c>
      <c r="U2" s="6" t="s">
        <v>27</v>
      </c>
      <c r="V2" s="6" t="s">
        <v>40</v>
      </c>
      <c r="W2" s="6" t="s">
        <v>41</v>
      </c>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220" s="3" customFormat="1">
      <c r="A3" s="6">
        <v>2021</v>
      </c>
      <c r="B3" s="531">
        <v>6</v>
      </c>
      <c r="C3" s="531">
        <v>5</v>
      </c>
      <c r="D3" s="532">
        <v>11</v>
      </c>
      <c r="E3" s="532">
        <v>8</v>
      </c>
      <c r="F3" s="532">
        <v>4</v>
      </c>
      <c r="G3" s="531">
        <v>6</v>
      </c>
      <c r="H3" s="531">
        <v>5</v>
      </c>
      <c r="I3" s="531">
        <v>6</v>
      </c>
      <c r="J3" s="531">
        <v>58</v>
      </c>
      <c r="K3" s="532">
        <v>64</v>
      </c>
      <c r="L3" s="531">
        <v>30</v>
      </c>
      <c r="M3" s="532">
        <v>39</v>
      </c>
      <c r="N3" s="531">
        <v>11</v>
      </c>
      <c r="O3" s="531">
        <v>35.799999999999997</v>
      </c>
      <c r="P3" s="559">
        <v>1</v>
      </c>
      <c r="Q3" s="531">
        <v>36</v>
      </c>
      <c r="R3" s="531">
        <v>0</v>
      </c>
      <c r="S3" s="645" t="s">
        <v>228</v>
      </c>
      <c r="T3" s="646">
        <v>2074918</v>
      </c>
      <c r="U3" s="647">
        <v>2035590</v>
      </c>
      <c r="V3" s="648">
        <v>39328</v>
      </c>
      <c r="W3" s="559">
        <f>V3/T3</f>
        <v>1.8954002037670885E-2</v>
      </c>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row>
    <row r="4" spans="1:220" customFormat="1">
      <c r="A4" s="11">
        <v>2020</v>
      </c>
      <c r="B4" s="409">
        <v>6</v>
      </c>
      <c r="C4" s="409">
        <v>4</v>
      </c>
      <c r="D4" s="410">
        <v>10</v>
      </c>
      <c r="E4" s="411">
        <v>7</v>
      </c>
      <c r="F4" s="411">
        <v>4</v>
      </c>
      <c r="G4" s="409">
        <v>6</v>
      </c>
      <c r="H4" s="409">
        <v>4</v>
      </c>
      <c r="I4" s="409">
        <v>12</v>
      </c>
      <c r="J4" s="409">
        <v>61</v>
      </c>
      <c r="K4" s="410">
        <v>89</v>
      </c>
      <c r="L4" s="409">
        <v>34</v>
      </c>
      <c r="M4" s="411">
        <v>42</v>
      </c>
      <c r="N4" s="409">
        <v>12</v>
      </c>
      <c r="O4" s="409">
        <v>47</v>
      </c>
      <c r="P4" s="413">
        <v>1</v>
      </c>
      <c r="Q4" s="409">
        <v>45</v>
      </c>
      <c r="R4" s="409">
        <v>8</v>
      </c>
      <c r="S4" s="414" t="s">
        <v>213</v>
      </c>
      <c r="T4" s="415">
        <f>SUM(U4:V4)</f>
        <v>1345348</v>
      </c>
      <c r="U4" s="414">
        <v>1202160</v>
      </c>
      <c r="V4" s="414">
        <v>143188</v>
      </c>
      <c r="W4" s="335">
        <v>4.4999999999999998E-2</v>
      </c>
    </row>
    <row r="5" spans="1:220" customFormat="1">
      <c r="A5" s="11">
        <v>2019</v>
      </c>
      <c r="B5" s="409">
        <v>6</v>
      </c>
      <c r="C5" s="409">
        <v>5</v>
      </c>
      <c r="D5" s="410">
        <f>SUM(B5:C5)</f>
        <v>11</v>
      </c>
      <c r="E5" s="411">
        <f>ROUND((O5/B5), 0)</f>
        <v>8</v>
      </c>
      <c r="F5" s="411">
        <f>ROUND((O5/D5), 0)</f>
        <v>4</v>
      </c>
      <c r="G5" s="409">
        <v>6</v>
      </c>
      <c r="H5" s="409">
        <v>5</v>
      </c>
      <c r="I5" s="409">
        <v>8</v>
      </c>
      <c r="J5" s="409">
        <v>73</v>
      </c>
      <c r="K5" s="410">
        <f t="shared" ref="K5" si="0">SUM(I5:J5)</f>
        <v>81</v>
      </c>
      <c r="L5" s="409">
        <v>41.11</v>
      </c>
      <c r="M5" s="411">
        <f>(I5+L5)</f>
        <v>49.11</v>
      </c>
      <c r="N5" s="409">
        <v>18</v>
      </c>
      <c r="O5" s="409">
        <v>49.11</v>
      </c>
      <c r="P5" s="413">
        <f>M5/O5</f>
        <v>1</v>
      </c>
      <c r="Q5" s="409">
        <v>35</v>
      </c>
      <c r="R5" s="409">
        <v>0</v>
      </c>
      <c r="S5" s="414">
        <v>884997.27</v>
      </c>
      <c r="T5" s="415">
        <f>SUM(U5:V5)</f>
        <v>1093702.42</v>
      </c>
      <c r="U5" s="414">
        <v>1052168.96</v>
      </c>
      <c r="V5" s="414">
        <v>41533.46</v>
      </c>
      <c r="W5" s="335">
        <f>V5/T5</f>
        <v>3.7975101124856248E-2</v>
      </c>
    </row>
    <row r="6" spans="1:220" s="17" customFormat="1">
      <c r="A6" s="33">
        <v>2018</v>
      </c>
      <c r="B6" s="20">
        <v>6</v>
      </c>
      <c r="C6" s="20">
        <v>2</v>
      </c>
      <c r="D6" s="29">
        <f>SUM(B6:C6)</f>
        <v>8</v>
      </c>
      <c r="E6" s="172">
        <f>ROUND((O6/B6), 0)</f>
        <v>11</v>
      </c>
      <c r="F6" s="172">
        <f>ROUND((O6/D6), 0)</f>
        <v>8</v>
      </c>
      <c r="G6" s="20">
        <v>6</v>
      </c>
      <c r="H6" s="20">
        <v>2</v>
      </c>
      <c r="I6" s="20">
        <v>22</v>
      </c>
      <c r="J6" s="20">
        <v>76</v>
      </c>
      <c r="K6" s="29">
        <f t="shared" ref="K6" si="1">SUM(I6:J6)</f>
        <v>98</v>
      </c>
      <c r="L6" s="20">
        <v>40</v>
      </c>
      <c r="M6" s="172">
        <f>(I6+L6)</f>
        <v>62</v>
      </c>
      <c r="N6" s="20">
        <v>28</v>
      </c>
      <c r="O6" s="20">
        <v>64</v>
      </c>
      <c r="P6" s="183">
        <f>M6/O6</f>
        <v>0.96875</v>
      </c>
      <c r="Q6" s="20">
        <v>26</v>
      </c>
      <c r="R6" s="20">
        <v>1</v>
      </c>
      <c r="S6" s="24">
        <v>965135.81</v>
      </c>
      <c r="T6" s="30">
        <f>SUM(U6:V6)</f>
        <v>1086410</v>
      </c>
      <c r="U6" s="24">
        <v>965134</v>
      </c>
      <c r="V6" s="24">
        <v>121276</v>
      </c>
      <c r="W6" s="185">
        <f>V6/T6</f>
        <v>0.1116300475879272</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row>
    <row r="7" spans="1:220" s="17" customFormat="1">
      <c r="A7" s="11">
        <v>2017</v>
      </c>
      <c r="B7" s="20">
        <v>7</v>
      </c>
      <c r="C7" s="20">
        <v>1</v>
      </c>
      <c r="D7" s="187">
        <f>B7+C7</f>
        <v>8</v>
      </c>
      <c r="E7" s="16">
        <f>ROUND((O7/B7), 0)</f>
        <v>9</v>
      </c>
      <c r="F7" s="16">
        <f>ROUND((O7/D7), 0)</f>
        <v>8</v>
      </c>
      <c r="G7" s="20">
        <v>7</v>
      </c>
      <c r="H7" s="20">
        <v>1</v>
      </c>
      <c r="I7" s="20">
        <v>17</v>
      </c>
      <c r="J7" s="20">
        <v>65</v>
      </c>
      <c r="K7" s="187">
        <f>I7+J7</f>
        <v>82</v>
      </c>
      <c r="L7" s="20">
        <v>44</v>
      </c>
      <c r="M7" s="16">
        <f>I7+L7</f>
        <v>61</v>
      </c>
      <c r="N7" s="20">
        <v>21</v>
      </c>
      <c r="O7" s="20">
        <v>66</v>
      </c>
      <c r="P7" s="183">
        <f t="shared" ref="P7:P22" si="2">M7/O7</f>
        <v>0.9242424242424242</v>
      </c>
      <c r="Q7" s="20">
        <v>37</v>
      </c>
      <c r="R7" s="20">
        <v>1</v>
      </c>
      <c r="S7" s="24">
        <v>1011309.88</v>
      </c>
      <c r="T7" s="188">
        <f>SUM(U7:V7)</f>
        <v>1094349</v>
      </c>
      <c r="U7" s="24">
        <v>907248</v>
      </c>
      <c r="V7" s="24">
        <v>187101</v>
      </c>
      <c r="W7" s="185">
        <f t="shared" ref="W7:W22" si="3">V7/T7</f>
        <v>0.17097013841105535</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220" s="75" customFormat="1">
      <c r="A8" s="62">
        <v>2016</v>
      </c>
      <c r="B8" s="63">
        <v>7</v>
      </c>
      <c r="C8" s="63">
        <v>2</v>
      </c>
      <c r="D8" s="81">
        <f>B8+C8</f>
        <v>9</v>
      </c>
      <c r="E8" s="82">
        <f>ROUND((O8/B8), 0)</f>
        <v>12</v>
      </c>
      <c r="F8" s="82">
        <f>ROUND((O8/D8), 0)</f>
        <v>9</v>
      </c>
      <c r="G8" s="63">
        <v>7</v>
      </c>
      <c r="H8" s="63">
        <v>2</v>
      </c>
      <c r="I8" s="63">
        <v>24</v>
      </c>
      <c r="J8" s="63">
        <v>61</v>
      </c>
      <c r="K8" s="81">
        <f>I8+J8</f>
        <v>85</v>
      </c>
      <c r="L8" s="63">
        <v>35</v>
      </c>
      <c r="M8" s="82">
        <f>I8+L8</f>
        <v>59</v>
      </c>
      <c r="N8" s="63">
        <v>24</v>
      </c>
      <c r="O8" s="63">
        <v>85</v>
      </c>
      <c r="P8" s="183">
        <f t="shared" si="2"/>
        <v>0.69411764705882351</v>
      </c>
      <c r="Q8" s="63">
        <v>44</v>
      </c>
      <c r="R8" s="63">
        <v>4</v>
      </c>
      <c r="S8" s="64">
        <v>1467186</v>
      </c>
      <c r="T8" s="85">
        <f>SUM(U8:V8)</f>
        <v>1034388</v>
      </c>
      <c r="U8" s="64">
        <v>911177</v>
      </c>
      <c r="V8" s="64">
        <v>123211</v>
      </c>
      <c r="W8" s="185">
        <f t="shared" si="3"/>
        <v>0.11911487758945385</v>
      </c>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row>
    <row r="9" spans="1:220" s="105" customFormat="1">
      <c r="A9" s="94">
        <v>2015</v>
      </c>
      <c r="B9" s="91">
        <v>7</v>
      </c>
      <c r="C9" s="91">
        <v>1</v>
      </c>
      <c r="D9" s="81">
        <v>8</v>
      </c>
      <c r="E9" s="81">
        <v>8.1</v>
      </c>
      <c r="F9" s="81">
        <v>7.1</v>
      </c>
      <c r="G9" s="111"/>
      <c r="H9" s="111"/>
      <c r="I9" s="91">
        <v>15</v>
      </c>
      <c r="J9" s="91">
        <v>69</v>
      </c>
      <c r="K9" s="81">
        <v>84</v>
      </c>
      <c r="L9" s="91">
        <v>42</v>
      </c>
      <c r="M9" s="81">
        <v>57</v>
      </c>
      <c r="N9" s="91">
        <v>24</v>
      </c>
      <c r="O9" s="91">
        <v>57</v>
      </c>
      <c r="P9" s="183">
        <f t="shared" si="2"/>
        <v>1</v>
      </c>
      <c r="Q9" s="91">
        <v>69</v>
      </c>
      <c r="R9" s="91">
        <v>7</v>
      </c>
      <c r="S9" s="102">
        <v>1433896</v>
      </c>
      <c r="T9" s="103">
        <v>1255600</v>
      </c>
      <c r="U9" s="102">
        <v>1026500</v>
      </c>
      <c r="V9" s="102">
        <v>229100</v>
      </c>
      <c r="W9" s="185">
        <f t="shared" si="3"/>
        <v>0.1824625676967187</v>
      </c>
    </row>
    <row r="10" spans="1:220" s="168" customFormat="1">
      <c r="A10" s="90">
        <v>2014</v>
      </c>
      <c r="B10" s="91">
        <v>8</v>
      </c>
      <c r="C10" s="91">
        <v>4</v>
      </c>
      <c r="D10" s="81">
        <f>B10+C10</f>
        <v>12</v>
      </c>
      <c r="E10" s="82">
        <f t="shared" ref="E10:E22" si="4">ROUND((O10/B10), 0)</f>
        <v>10</v>
      </c>
      <c r="F10" s="82">
        <f t="shared" ref="F10:F22" si="5">ROUND((O10/D10), 0)</f>
        <v>7</v>
      </c>
      <c r="G10" s="111"/>
      <c r="H10" s="111"/>
      <c r="I10" s="91">
        <v>14</v>
      </c>
      <c r="J10" s="91">
        <v>101</v>
      </c>
      <c r="K10" s="81">
        <f>I10+J10</f>
        <v>115</v>
      </c>
      <c r="L10" s="91">
        <v>56</v>
      </c>
      <c r="M10" s="82">
        <f>I10+L10</f>
        <v>70</v>
      </c>
      <c r="N10" s="91">
        <v>34</v>
      </c>
      <c r="O10" s="91">
        <v>79</v>
      </c>
      <c r="P10" s="183">
        <f t="shared" si="2"/>
        <v>0.88607594936708856</v>
      </c>
      <c r="Q10" s="91">
        <v>58</v>
      </c>
      <c r="R10" s="91">
        <v>6</v>
      </c>
      <c r="S10" s="92">
        <v>1864815</v>
      </c>
      <c r="T10" s="85">
        <f t="shared" ref="T10:T22" si="6">SUM(U10:V10)</f>
        <v>2116084</v>
      </c>
      <c r="U10" s="92">
        <v>1136557</v>
      </c>
      <c r="V10" s="147">
        <v>979527</v>
      </c>
      <c r="W10" s="185">
        <f t="shared" si="3"/>
        <v>0.46289608541059807</v>
      </c>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220" s="71" customFormat="1">
      <c r="A11" s="210" t="s">
        <v>80</v>
      </c>
      <c r="B11" s="361">
        <v>8</v>
      </c>
      <c r="C11" s="361">
        <v>5</v>
      </c>
      <c r="D11" s="108">
        <f>B11+C11</f>
        <v>13</v>
      </c>
      <c r="E11" s="109">
        <f t="shared" si="4"/>
        <v>13</v>
      </c>
      <c r="F11" s="109">
        <f t="shared" si="5"/>
        <v>8</v>
      </c>
      <c r="G11" s="113"/>
      <c r="H11" s="113"/>
      <c r="I11" s="361">
        <v>9</v>
      </c>
      <c r="J11" s="361">
        <v>127</v>
      </c>
      <c r="K11" s="108">
        <f>I11+J11</f>
        <v>136</v>
      </c>
      <c r="L11" s="361">
        <v>72</v>
      </c>
      <c r="M11" s="109">
        <f>I11+L11</f>
        <v>81</v>
      </c>
      <c r="N11" s="361">
        <v>41</v>
      </c>
      <c r="O11" s="361">
        <v>106</v>
      </c>
      <c r="P11" s="183">
        <f t="shared" si="2"/>
        <v>0.76415094339622647</v>
      </c>
      <c r="Q11" s="361">
        <v>77</v>
      </c>
      <c r="R11" s="361">
        <v>28</v>
      </c>
      <c r="S11" s="112">
        <v>1241463</v>
      </c>
      <c r="T11" s="110">
        <f t="shared" si="6"/>
        <v>3051072</v>
      </c>
      <c r="U11" s="112">
        <v>2009747</v>
      </c>
      <c r="V11" s="150">
        <v>1041325</v>
      </c>
      <c r="W11" s="185">
        <f t="shared" si="3"/>
        <v>0.34129807490613134</v>
      </c>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row>
    <row r="12" spans="1:220" s="71" customFormat="1">
      <c r="A12" s="359" t="s">
        <v>86</v>
      </c>
      <c r="B12" s="361">
        <v>8</v>
      </c>
      <c r="C12" s="361">
        <v>5</v>
      </c>
      <c r="D12" s="108">
        <f>B12+C12</f>
        <v>13</v>
      </c>
      <c r="E12" s="109">
        <f t="shared" si="4"/>
        <v>17</v>
      </c>
      <c r="F12" s="109">
        <f t="shared" si="5"/>
        <v>10</v>
      </c>
      <c r="G12" s="113"/>
      <c r="H12" s="113"/>
      <c r="I12" s="361">
        <v>24</v>
      </c>
      <c r="J12" s="361">
        <v>140</v>
      </c>
      <c r="K12" s="108">
        <f>I12+J12</f>
        <v>164</v>
      </c>
      <c r="L12" s="361">
        <v>74</v>
      </c>
      <c r="M12" s="109">
        <f>I12+L12</f>
        <v>98</v>
      </c>
      <c r="N12" s="361">
        <v>27</v>
      </c>
      <c r="O12" s="361">
        <v>133</v>
      </c>
      <c r="P12" s="183">
        <f t="shared" si="2"/>
        <v>0.73684210526315785</v>
      </c>
      <c r="Q12" s="361">
        <v>80</v>
      </c>
      <c r="R12" s="361">
        <v>0</v>
      </c>
      <c r="S12" s="112">
        <v>1481934.27</v>
      </c>
      <c r="T12" s="110">
        <f t="shared" si="6"/>
        <v>1484109.09</v>
      </c>
      <c r="U12" s="112">
        <v>1455129.09</v>
      </c>
      <c r="V12" s="150">
        <v>28980</v>
      </c>
      <c r="W12" s="185">
        <f t="shared" si="3"/>
        <v>1.952686645157601E-2</v>
      </c>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row>
    <row r="13" spans="1:220" s="71" customFormat="1">
      <c r="A13" s="359" t="s">
        <v>81</v>
      </c>
      <c r="B13" s="361">
        <v>8</v>
      </c>
      <c r="C13" s="361">
        <v>5.7</v>
      </c>
      <c r="D13" s="108">
        <f>SUM(B13:C13)</f>
        <v>13.7</v>
      </c>
      <c r="E13" s="109">
        <f t="shared" si="4"/>
        <v>17</v>
      </c>
      <c r="F13" s="109">
        <f t="shared" si="5"/>
        <v>10</v>
      </c>
      <c r="G13" s="113"/>
      <c r="H13" s="113"/>
      <c r="I13" s="361">
        <v>31</v>
      </c>
      <c r="J13" s="361">
        <v>182</v>
      </c>
      <c r="K13" s="108">
        <f t="shared" ref="K13:K22" si="7">SUM(I13:J13)</f>
        <v>213</v>
      </c>
      <c r="L13" s="361">
        <v>102</v>
      </c>
      <c r="M13" s="109">
        <f t="shared" ref="M13:M22" si="8">(I13+L13)</f>
        <v>133</v>
      </c>
      <c r="N13" s="361">
        <v>58</v>
      </c>
      <c r="O13" s="361">
        <v>138</v>
      </c>
      <c r="P13" s="183">
        <f t="shared" si="2"/>
        <v>0.96376811594202894</v>
      </c>
      <c r="Q13" s="361">
        <v>83</v>
      </c>
      <c r="R13" s="361">
        <v>0</v>
      </c>
      <c r="S13" s="112">
        <v>1487222.78</v>
      </c>
      <c r="T13" s="110">
        <f t="shared" si="6"/>
        <v>2343051.4</v>
      </c>
      <c r="U13" s="112">
        <v>2343051.4</v>
      </c>
      <c r="V13" s="150">
        <v>0</v>
      </c>
      <c r="W13" s="185">
        <f t="shared" si="3"/>
        <v>0</v>
      </c>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row>
    <row r="14" spans="1:220" s="71" customFormat="1">
      <c r="A14" s="359" t="s">
        <v>82</v>
      </c>
      <c r="B14" s="361">
        <v>7</v>
      </c>
      <c r="C14" s="361">
        <v>6.67</v>
      </c>
      <c r="D14" s="108">
        <f>SUM(B14:C14)</f>
        <v>13.67</v>
      </c>
      <c r="E14" s="109">
        <f t="shared" si="4"/>
        <v>21</v>
      </c>
      <c r="F14" s="109">
        <f t="shared" si="5"/>
        <v>11</v>
      </c>
      <c r="G14" s="113"/>
      <c r="H14" s="113"/>
      <c r="I14" s="361">
        <v>35</v>
      </c>
      <c r="J14" s="361">
        <v>196</v>
      </c>
      <c r="K14" s="108">
        <f t="shared" si="7"/>
        <v>231</v>
      </c>
      <c r="L14" s="361">
        <v>107.4</v>
      </c>
      <c r="M14" s="109">
        <f t="shared" si="8"/>
        <v>142.4</v>
      </c>
      <c r="N14" s="361">
        <v>38</v>
      </c>
      <c r="O14" s="361">
        <v>144.30000000000001</v>
      </c>
      <c r="P14" s="183">
        <f t="shared" si="2"/>
        <v>0.98683298683298681</v>
      </c>
      <c r="Q14" s="361">
        <v>82</v>
      </c>
      <c r="R14" s="361">
        <v>0</v>
      </c>
      <c r="S14" s="112">
        <v>1529286.62</v>
      </c>
      <c r="T14" s="110">
        <f t="shared" si="6"/>
        <v>2130821</v>
      </c>
      <c r="U14" s="112">
        <v>2130821</v>
      </c>
      <c r="V14" s="112">
        <v>0</v>
      </c>
      <c r="W14" s="185">
        <f t="shared" si="3"/>
        <v>0</v>
      </c>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row>
    <row r="15" spans="1:220" s="71" customFormat="1">
      <c r="A15" s="359" t="s">
        <v>83</v>
      </c>
      <c r="B15" s="361">
        <v>9</v>
      </c>
      <c r="C15" s="361">
        <v>4.33</v>
      </c>
      <c r="D15" s="108">
        <f>SUM(B15:C15)</f>
        <v>13.33</v>
      </c>
      <c r="E15" s="109">
        <f t="shared" si="4"/>
        <v>14</v>
      </c>
      <c r="F15" s="109">
        <f t="shared" si="5"/>
        <v>10</v>
      </c>
      <c r="G15" s="113"/>
      <c r="H15" s="113"/>
      <c r="I15" s="361">
        <v>22</v>
      </c>
      <c r="J15" s="361">
        <v>194</v>
      </c>
      <c r="K15" s="108">
        <f t="shared" si="7"/>
        <v>216</v>
      </c>
      <c r="L15" s="361">
        <v>103.6</v>
      </c>
      <c r="M15" s="109">
        <f t="shared" si="8"/>
        <v>125.6</v>
      </c>
      <c r="N15" s="361">
        <v>38</v>
      </c>
      <c r="O15" s="361">
        <v>127.5</v>
      </c>
      <c r="P15" s="183">
        <f t="shared" si="2"/>
        <v>0.98509803921568628</v>
      </c>
      <c r="Q15" s="361">
        <v>79</v>
      </c>
      <c r="R15" s="361">
        <v>0</v>
      </c>
      <c r="S15" s="112">
        <v>2195930</v>
      </c>
      <c r="T15" s="110">
        <f t="shared" si="6"/>
        <v>2212291</v>
      </c>
      <c r="U15" s="112">
        <v>2130821</v>
      </c>
      <c r="V15" s="112">
        <v>81470</v>
      </c>
      <c r="W15" s="185">
        <f t="shared" si="3"/>
        <v>3.6826077582017919E-2</v>
      </c>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row>
    <row r="16" spans="1:220" s="71" customFormat="1">
      <c r="A16" s="359" t="s">
        <v>84</v>
      </c>
      <c r="B16" s="361">
        <v>8</v>
      </c>
      <c r="C16" s="361">
        <v>6.6</v>
      </c>
      <c r="D16" s="108">
        <f>SUM(B16:C16)</f>
        <v>14.6</v>
      </c>
      <c r="E16" s="109">
        <f t="shared" si="4"/>
        <v>15</v>
      </c>
      <c r="F16" s="109">
        <f t="shared" si="5"/>
        <v>8</v>
      </c>
      <c r="G16" s="113"/>
      <c r="H16" s="113"/>
      <c r="I16" s="361">
        <v>26</v>
      </c>
      <c r="J16" s="361">
        <v>188</v>
      </c>
      <c r="K16" s="108">
        <f t="shared" si="7"/>
        <v>214</v>
      </c>
      <c r="L16" s="361">
        <v>95.8</v>
      </c>
      <c r="M16" s="109">
        <f t="shared" si="8"/>
        <v>121.8</v>
      </c>
      <c r="N16" s="361">
        <v>36</v>
      </c>
      <c r="O16" s="361">
        <v>123</v>
      </c>
      <c r="P16" s="183">
        <f t="shared" si="2"/>
        <v>0.99024390243902438</v>
      </c>
      <c r="Q16" s="361">
        <v>103</v>
      </c>
      <c r="R16" s="361">
        <v>0</v>
      </c>
      <c r="S16" s="112">
        <v>1854743</v>
      </c>
      <c r="T16" s="110">
        <f t="shared" si="6"/>
        <v>2307834</v>
      </c>
      <c r="U16" s="112">
        <v>2288030</v>
      </c>
      <c r="V16" s="112">
        <v>19804</v>
      </c>
      <c r="W16" s="185">
        <f t="shared" si="3"/>
        <v>8.5812064472574716E-3</v>
      </c>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row>
    <row r="17" spans="1:52" s="71" customFormat="1">
      <c r="A17" s="94">
        <v>2007</v>
      </c>
      <c r="B17" s="361">
        <v>7</v>
      </c>
      <c r="C17" s="361">
        <v>6.3</v>
      </c>
      <c r="D17" s="194">
        <f>SUM(B17:C17)</f>
        <v>13.3</v>
      </c>
      <c r="E17" s="109">
        <f t="shared" si="4"/>
        <v>19</v>
      </c>
      <c r="F17" s="109">
        <f t="shared" si="5"/>
        <v>10</v>
      </c>
      <c r="G17" s="113"/>
      <c r="H17" s="113"/>
      <c r="I17" s="361">
        <v>34</v>
      </c>
      <c r="J17" s="361">
        <v>188</v>
      </c>
      <c r="K17" s="194">
        <f t="shared" si="7"/>
        <v>222</v>
      </c>
      <c r="L17" s="361">
        <v>96.8</v>
      </c>
      <c r="M17" s="109">
        <f t="shared" si="8"/>
        <v>130.80000000000001</v>
      </c>
      <c r="N17" s="361">
        <v>38</v>
      </c>
      <c r="O17" s="361">
        <v>132</v>
      </c>
      <c r="P17" s="183">
        <f t="shared" si="2"/>
        <v>0.99090909090909096</v>
      </c>
      <c r="Q17" s="361">
        <v>97</v>
      </c>
      <c r="R17" s="361">
        <v>0</v>
      </c>
      <c r="S17" s="192">
        <v>1925229</v>
      </c>
      <c r="T17" s="110">
        <f t="shared" si="6"/>
        <v>2705293</v>
      </c>
      <c r="U17" s="192">
        <v>2693723</v>
      </c>
      <c r="V17" s="192">
        <v>11570</v>
      </c>
      <c r="W17" s="185">
        <f t="shared" si="3"/>
        <v>4.2768010710854606E-3</v>
      </c>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row>
    <row r="18" spans="1:52" s="71" customFormat="1">
      <c r="A18" s="94">
        <v>2006</v>
      </c>
      <c r="B18" s="361">
        <v>8</v>
      </c>
      <c r="C18" s="361">
        <v>6</v>
      </c>
      <c r="D18" s="194">
        <v>14</v>
      </c>
      <c r="E18" s="109">
        <f t="shared" si="4"/>
        <v>18</v>
      </c>
      <c r="F18" s="109">
        <f t="shared" si="5"/>
        <v>10</v>
      </c>
      <c r="G18" s="113"/>
      <c r="H18" s="113"/>
      <c r="I18" s="361">
        <v>39</v>
      </c>
      <c r="J18" s="361">
        <v>208</v>
      </c>
      <c r="K18" s="194">
        <f t="shared" si="7"/>
        <v>247</v>
      </c>
      <c r="L18" s="361">
        <v>102</v>
      </c>
      <c r="M18" s="109">
        <f t="shared" si="8"/>
        <v>141</v>
      </c>
      <c r="N18" s="361">
        <v>26</v>
      </c>
      <c r="O18" s="361">
        <v>143</v>
      </c>
      <c r="P18" s="183">
        <f t="shared" si="2"/>
        <v>0.98601398601398604</v>
      </c>
      <c r="Q18" s="361">
        <v>80</v>
      </c>
      <c r="R18" s="361">
        <v>0</v>
      </c>
      <c r="S18" s="192">
        <v>1873940.43</v>
      </c>
      <c r="T18" s="110">
        <f t="shared" si="6"/>
        <v>2584691.8199999998</v>
      </c>
      <c r="U18" s="192">
        <v>1995946</v>
      </c>
      <c r="V18" s="192">
        <v>588745.81999999995</v>
      </c>
      <c r="W18" s="185">
        <f t="shared" si="3"/>
        <v>0.22778182506880065</v>
      </c>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row>
    <row r="19" spans="1:52" s="71" customFormat="1">
      <c r="A19" s="94">
        <v>2005</v>
      </c>
      <c r="B19" s="361">
        <v>10</v>
      </c>
      <c r="C19" s="361">
        <v>4</v>
      </c>
      <c r="D19" s="194">
        <f>SUM(B19:C19)</f>
        <v>14</v>
      </c>
      <c r="E19" s="109">
        <f t="shared" si="4"/>
        <v>14</v>
      </c>
      <c r="F19" s="109">
        <f t="shared" si="5"/>
        <v>10</v>
      </c>
      <c r="G19" s="113"/>
      <c r="H19" s="113"/>
      <c r="I19" s="361">
        <v>30</v>
      </c>
      <c r="J19" s="361">
        <v>219</v>
      </c>
      <c r="K19" s="194">
        <f t="shared" si="7"/>
        <v>249</v>
      </c>
      <c r="L19" s="361">
        <v>86</v>
      </c>
      <c r="M19" s="109">
        <f t="shared" si="8"/>
        <v>116</v>
      </c>
      <c r="N19" s="361">
        <v>29</v>
      </c>
      <c r="O19" s="361">
        <v>139</v>
      </c>
      <c r="P19" s="183">
        <f t="shared" si="2"/>
        <v>0.83453237410071945</v>
      </c>
      <c r="Q19" s="361">
        <v>85</v>
      </c>
      <c r="R19" s="361">
        <v>0</v>
      </c>
      <c r="S19" s="192">
        <v>1712655</v>
      </c>
      <c r="T19" s="110">
        <f t="shared" si="6"/>
        <v>2304453</v>
      </c>
      <c r="U19" s="192">
        <v>2274853</v>
      </c>
      <c r="V19" s="192">
        <v>29600</v>
      </c>
      <c r="W19" s="185">
        <f t="shared" si="3"/>
        <v>1.2844696767519233E-2</v>
      </c>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row>
    <row r="20" spans="1:52" s="71" customFormat="1">
      <c r="A20" s="90">
        <v>2004</v>
      </c>
      <c r="B20" s="195">
        <v>8</v>
      </c>
      <c r="C20" s="195">
        <v>5</v>
      </c>
      <c r="D20" s="194">
        <f>SUM(B20:C20)</f>
        <v>13</v>
      </c>
      <c r="E20" s="109">
        <f t="shared" si="4"/>
        <v>18</v>
      </c>
      <c r="F20" s="109">
        <f t="shared" si="5"/>
        <v>11</v>
      </c>
      <c r="G20" s="113"/>
      <c r="H20" s="113"/>
      <c r="I20" s="195">
        <v>39</v>
      </c>
      <c r="J20" s="195">
        <v>210</v>
      </c>
      <c r="K20" s="194">
        <f t="shared" si="7"/>
        <v>249</v>
      </c>
      <c r="L20" s="195">
        <v>103.89</v>
      </c>
      <c r="M20" s="109">
        <f t="shared" si="8"/>
        <v>142.88999999999999</v>
      </c>
      <c r="N20" s="195">
        <v>24</v>
      </c>
      <c r="O20" s="193">
        <v>143.56</v>
      </c>
      <c r="P20" s="183">
        <f t="shared" si="2"/>
        <v>0.99533296182780706</v>
      </c>
      <c r="Q20" s="195">
        <v>59</v>
      </c>
      <c r="R20" s="361">
        <v>0</v>
      </c>
      <c r="S20" s="192">
        <v>1656062</v>
      </c>
      <c r="T20" s="110">
        <f t="shared" si="6"/>
        <v>1917908</v>
      </c>
      <c r="U20" s="192">
        <v>1893077</v>
      </c>
      <c r="V20" s="192">
        <v>24831</v>
      </c>
      <c r="W20" s="185">
        <f t="shared" si="3"/>
        <v>1.2946919247430012E-2</v>
      </c>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row>
    <row r="21" spans="1:52" s="71" customFormat="1">
      <c r="A21" s="90">
        <v>2003</v>
      </c>
      <c r="B21" s="195">
        <v>8</v>
      </c>
      <c r="C21" s="195">
        <v>4</v>
      </c>
      <c r="D21" s="194">
        <f>SUM(B21:C21)</f>
        <v>12</v>
      </c>
      <c r="E21" s="109">
        <f t="shared" si="4"/>
        <v>20</v>
      </c>
      <c r="F21" s="109">
        <f t="shared" si="5"/>
        <v>13</v>
      </c>
      <c r="G21" s="113"/>
      <c r="H21" s="113"/>
      <c r="I21" s="195">
        <v>53</v>
      </c>
      <c r="J21" s="195">
        <v>162</v>
      </c>
      <c r="K21" s="194">
        <f t="shared" si="7"/>
        <v>215</v>
      </c>
      <c r="L21" s="195">
        <v>107</v>
      </c>
      <c r="M21" s="109">
        <f t="shared" si="8"/>
        <v>160</v>
      </c>
      <c r="N21" s="195">
        <v>29</v>
      </c>
      <c r="O21" s="195">
        <v>161</v>
      </c>
      <c r="P21" s="183">
        <f t="shared" si="2"/>
        <v>0.99378881987577639</v>
      </c>
      <c r="Q21" s="195">
        <v>68</v>
      </c>
      <c r="R21" s="361">
        <v>0</v>
      </c>
      <c r="S21" s="192">
        <v>1136565</v>
      </c>
      <c r="T21" s="110">
        <f t="shared" si="6"/>
        <v>1488585</v>
      </c>
      <c r="U21" s="192">
        <v>998386</v>
      </c>
      <c r="V21" s="192">
        <v>490199</v>
      </c>
      <c r="W21" s="185">
        <f t="shared" si="3"/>
        <v>0.3293053470241874</v>
      </c>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row>
    <row r="22" spans="1:52" s="71" customFormat="1">
      <c r="A22" s="90">
        <v>2002</v>
      </c>
      <c r="B22" s="195">
        <v>7</v>
      </c>
      <c r="C22" s="195">
        <f>ROUND(7.6, 0)</f>
        <v>8</v>
      </c>
      <c r="D22" s="194">
        <f>SUM(B22:C22)</f>
        <v>15</v>
      </c>
      <c r="E22" s="109">
        <f t="shared" si="4"/>
        <v>21</v>
      </c>
      <c r="F22" s="109">
        <f t="shared" si="5"/>
        <v>10</v>
      </c>
      <c r="G22" s="113"/>
      <c r="H22" s="113"/>
      <c r="I22" s="195">
        <v>22</v>
      </c>
      <c r="J22" s="195">
        <v>189</v>
      </c>
      <c r="K22" s="194">
        <f t="shared" si="7"/>
        <v>211</v>
      </c>
      <c r="L22" s="195">
        <f>ROUND(124.375, 0)</f>
        <v>124</v>
      </c>
      <c r="M22" s="109">
        <f t="shared" si="8"/>
        <v>146</v>
      </c>
      <c r="N22" s="195">
        <v>31</v>
      </c>
      <c r="O22" s="195">
        <f>ROUND(146.375, 0)</f>
        <v>146</v>
      </c>
      <c r="P22" s="183">
        <f t="shared" si="2"/>
        <v>1</v>
      </c>
      <c r="Q22" s="195">
        <v>79</v>
      </c>
      <c r="R22" s="361">
        <v>0</v>
      </c>
      <c r="S22" s="192">
        <v>1111508</v>
      </c>
      <c r="T22" s="110">
        <f t="shared" si="6"/>
        <v>1359192</v>
      </c>
      <c r="U22" s="192">
        <v>825420</v>
      </c>
      <c r="V22" s="192">
        <v>533772</v>
      </c>
      <c r="W22" s="185">
        <f t="shared" si="3"/>
        <v>0.39271272932742396</v>
      </c>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row>
    <row r="23" spans="1:52" s="76" customFormat="1" ht="33.6" customHeight="1">
      <c r="A23" s="38"/>
      <c r="B23" s="165"/>
      <c r="C23" s="165"/>
      <c r="D23" s="165"/>
      <c r="E23" s="165"/>
      <c r="F23" s="165"/>
      <c r="G23" s="77"/>
      <c r="H23" s="77"/>
      <c r="I23" s="165"/>
      <c r="J23" s="165"/>
      <c r="K23" s="165"/>
      <c r="L23" s="165"/>
      <c r="M23" s="165"/>
      <c r="N23" s="165"/>
      <c r="O23" s="165"/>
      <c r="P23" s="165"/>
      <c r="Q23" s="165"/>
      <c r="R23" s="165"/>
      <c r="S23" s="165"/>
      <c r="T23" s="668" t="s">
        <v>88</v>
      </c>
      <c r="U23" s="669"/>
      <c r="V23" s="669"/>
      <c r="W23" s="669"/>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row>
    <row r="24" spans="1:52" s="76" customFormat="1">
      <c r="G24" s="77"/>
      <c r="H24" s="77"/>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row>
    <row r="25" spans="1:52" s="76" customFormat="1">
      <c r="G25" s="77"/>
      <c r="H25" s="77"/>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row>
    <row r="26" spans="1:52" s="76" customFormat="1">
      <c r="G26" s="77"/>
      <c r="H26" s="77"/>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row>
    <row r="27" spans="1:52" s="76" customFormat="1">
      <c r="G27" s="77"/>
      <c r="H27" s="77"/>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row>
    <row r="28" spans="1:52" s="76" customFormat="1">
      <c r="G28" s="77"/>
      <c r="H28" s="77"/>
      <c r="N28" s="13"/>
      <c r="O28" s="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row>
    <row r="29" spans="1:52" s="76" customFormat="1">
      <c r="G29" s="77"/>
      <c r="H29" s="77"/>
      <c r="N29" s="13"/>
      <c r="O29" s="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row>
    <row r="30" spans="1:52" s="76" customFormat="1">
      <c r="G30" s="77"/>
      <c r="H30" s="77"/>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row>
    <row r="31" spans="1:52" s="76" customFormat="1">
      <c r="G31" s="77"/>
      <c r="H31" s="77"/>
      <c r="N31" s="13"/>
      <c r="O31" s="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row>
    <row r="32" spans="1:52" s="76" customFormat="1">
      <c r="G32" s="77"/>
      <c r="H32" s="77"/>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row>
    <row r="33" spans="7:52" s="76" customFormat="1">
      <c r="G33" s="77"/>
      <c r="H33" s="77"/>
      <c r="N33" s="13"/>
      <c r="O33" s="13"/>
      <c r="P33" s="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row>
    <row r="34" spans="7:52" s="76" customFormat="1">
      <c r="G34" s="77"/>
      <c r="H34" s="77"/>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row>
  </sheetData>
  <mergeCells count="1">
    <mergeCell ref="T23:W23"/>
  </mergeCells>
  <printOptions headings="1" gridLines="1"/>
  <pageMargins left="0.5" right="0.5" top="0.5" bottom="0.5" header="0" footer="0"/>
  <pageSetup paperSize="5" scale="67" orientation="landscape" horizontalDpi="1200" verticalDpi="1200"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Enrolled&amp;Grads</vt:lpstr>
      <vt:lpstr>Alabama</vt:lpstr>
      <vt:lpstr>Albany</vt:lpstr>
      <vt:lpstr>Alberta</vt:lpstr>
      <vt:lpstr>Arizona</vt:lpstr>
      <vt:lpstr>British Columbia</vt:lpstr>
      <vt:lpstr>Buffalo</vt:lpstr>
      <vt:lpstr>California Los Angeles</vt:lpstr>
      <vt:lpstr>Catholic</vt:lpstr>
      <vt:lpstr>Chicago State</vt:lpstr>
      <vt:lpstr>Clarion</vt:lpstr>
      <vt:lpstr>Dalhousie</vt:lpstr>
      <vt:lpstr>Denver</vt:lpstr>
      <vt:lpstr>Dominican</vt:lpstr>
      <vt:lpstr>Drexel</vt:lpstr>
      <vt:lpstr>East Carolina</vt:lpstr>
      <vt:lpstr>Emporia State</vt:lpstr>
      <vt:lpstr>Florida State</vt:lpstr>
      <vt:lpstr>Hawaii</vt:lpstr>
      <vt:lpstr>Illinois</vt:lpstr>
      <vt:lpstr>Indiana-Bloomington</vt:lpstr>
      <vt:lpstr>Indiana-IUPUI</vt:lpstr>
      <vt:lpstr>Iowa</vt:lpstr>
      <vt:lpstr>Kent State</vt:lpstr>
      <vt:lpstr>Kentucky</vt:lpstr>
      <vt:lpstr>Long Island</vt:lpstr>
      <vt:lpstr>Louisiana State</vt:lpstr>
      <vt:lpstr>Maryland</vt:lpstr>
      <vt:lpstr>McGill</vt:lpstr>
      <vt:lpstr>Michigan</vt:lpstr>
      <vt:lpstr>Missouri</vt:lpstr>
      <vt:lpstr>Montreal</vt:lpstr>
      <vt:lpstr>North Carolina Central</vt:lpstr>
      <vt:lpstr>North Carolina Chapel Hill</vt:lpstr>
      <vt:lpstr>North Carolina Greensboro</vt:lpstr>
      <vt:lpstr>North Texas</vt:lpstr>
      <vt:lpstr>Oklahoma</vt:lpstr>
      <vt:lpstr>Old Dominion</vt:lpstr>
      <vt:lpstr>Ottawa</vt:lpstr>
      <vt:lpstr>Pittsburgh</vt:lpstr>
      <vt:lpstr>Pratt</vt:lpstr>
      <vt:lpstr>Puerto Rico</vt:lpstr>
      <vt:lpstr>Queens</vt:lpstr>
      <vt:lpstr>Rhode Island</vt:lpstr>
      <vt:lpstr>Rutgers</vt:lpstr>
      <vt:lpstr>San Jose State</vt:lpstr>
      <vt:lpstr>Simmons</vt:lpstr>
      <vt:lpstr>South Carolina</vt:lpstr>
      <vt:lpstr>South Florida</vt:lpstr>
      <vt:lpstr>Southern California</vt:lpstr>
      <vt:lpstr>Southern Connecticut</vt:lpstr>
      <vt:lpstr>Southern Mississippi</vt:lpstr>
      <vt:lpstr>St. Catherine</vt:lpstr>
      <vt:lpstr>St. John's</vt:lpstr>
      <vt:lpstr>Syracuse</vt:lpstr>
      <vt:lpstr>Tennessee</vt:lpstr>
      <vt:lpstr>Texas Austin</vt:lpstr>
      <vt:lpstr>Texas Woman's</vt:lpstr>
      <vt:lpstr>Toronto</vt:lpstr>
      <vt:lpstr>Univ College London</vt:lpstr>
      <vt:lpstr>Valdosta State</vt:lpstr>
      <vt:lpstr>Washington</vt:lpstr>
      <vt:lpstr>Wayne State</vt:lpstr>
      <vt:lpstr>Western Ontario</vt:lpstr>
      <vt:lpstr>Wisconsin Madison</vt:lpstr>
      <vt:lpstr>Wisconsin Milwaukee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dc:creator>
  <cp:lastModifiedBy>Susana Stoll</cp:lastModifiedBy>
  <cp:lastPrinted>2018-06-06T16:29:09Z</cp:lastPrinted>
  <dcterms:created xsi:type="dcterms:W3CDTF">2015-06-09T16:00:45Z</dcterms:created>
  <dcterms:modified xsi:type="dcterms:W3CDTF">2022-09-29T16:05:52Z</dcterms:modified>
</cp:coreProperties>
</file>